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hdcfp1\East Water\Asset Management\ASSET\Michael\"/>
    </mc:Choice>
  </mc:AlternateContent>
  <workbookProtection workbookPassword="EF0E" lockStructure="1"/>
  <bookViews>
    <workbookView xWindow="480" yWindow="75" windowWidth="10395" windowHeight="7935" tabRatio="947"/>
  </bookViews>
  <sheets>
    <sheet name="Guidance Notes" sheetId="1" r:id="rId1"/>
    <sheet name="1. Site Info &amp; Detention Req" sheetId="2" r:id="rId2"/>
    <sheet name="Storage Calc" sheetId="17" state="hidden" r:id="rId3"/>
    <sheet name="Lists" sheetId="9" state="hidden" r:id="rId4"/>
    <sheet name="Rainfall" sheetId="8" state="hidden" r:id="rId5"/>
  </sheets>
  <definedNames>
    <definedName name="Building_Roof">Lists!$A$52:$A$67</definedName>
    <definedName name="Driveway_Area">Lists!$A$40:$A$48</definedName>
    <definedName name="Durations">'Storage Calc'!$A$64:$A$70</definedName>
    <definedName name="Garage_Roof">Lists!$A$70:$A$73</definedName>
    <definedName name="Outlet">Lists!$A$34:$A$35</definedName>
    <definedName name="Percentage">Lists!$A$10:$A$20</definedName>
    <definedName name="_xlnm.Print_Area" localSheetId="1">'1. Site Info &amp; Detention Req'!$A$1:$D$38</definedName>
    <definedName name="_xlnm.Print_Area" localSheetId="0">'Guidance Notes'!$A$1:$A$30</definedName>
    <definedName name="Soil_Type">Lists!#REF!</definedName>
    <definedName name="Storage">Lists!$A$77:$B$83</definedName>
    <definedName name="Storage_Depth">Lists!$A$77:$B$83</definedName>
    <definedName name="Z_3D7EB65F_0FC5_47F2_9875_B5415B55E484_.wvu.PrintArea" localSheetId="0" hidden="1">'Guidance Notes'!$A$1:$A$29</definedName>
    <definedName name="Zoning">Lists!$A$3:$A$5</definedName>
  </definedNames>
  <calcPr calcId="152511"/>
  <customWorkbookViews>
    <customWorkbookView name="Wayne Hodson - Personal View" guid="{3D7EB65F-0FC5-47F2-9875-B5415B55E484}" mergeInterval="0" personalView="1" maximized="1" xWindow="1" yWindow="1" windowWidth="1600" windowHeight="1008" tabRatio="709" activeSheetId="1"/>
    <customWorkbookView name="Base" guid="{92152A40-AC35-40DB-8CA0-26244A2F5883}" includePrintSettings="0" includeHiddenRowCol="0" maximized="1" xWindow="1" yWindow="1" windowWidth="1600" windowHeight="1008" tabRatio="709" activeSheetId="1"/>
  </customWorkbookViews>
</workbook>
</file>

<file path=xl/calcChain.xml><?xml version="1.0" encoding="utf-8"?>
<calcChain xmlns="http://schemas.openxmlformats.org/spreadsheetml/2006/main">
  <c r="F23" i="17" l="1"/>
  <c r="E21" i="17"/>
  <c r="E20" i="17"/>
  <c r="I46" i="17" l="1"/>
  <c r="I5" i="17" l="1"/>
  <c r="F5" i="17"/>
  <c r="B124" i="9" l="1"/>
  <c r="B123" i="9"/>
  <c r="B122" i="9"/>
  <c r="B121" i="9"/>
  <c r="B120" i="9"/>
  <c r="B119" i="9"/>
  <c r="B91" i="9"/>
  <c r="B92" i="9"/>
  <c r="B93" i="9"/>
  <c r="B94" i="9"/>
  <c r="B95" i="9"/>
  <c r="B96" i="9"/>
  <c r="B97" i="9"/>
  <c r="B98" i="9"/>
  <c r="B99" i="9"/>
  <c r="B100" i="9"/>
  <c r="B101" i="9"/>
  <c r="B102" i="9"/>
  <c r="B103" i="9"/>
  <c r="B104" i="9"/>
  <c r="B105" i="9"/>
  <c r="B106" i="9"/>
  <c r="B107" i="9"/>
  <c r="B108" i="9"/>
  <c r="B109" i="9"/>
  <c r="B110" i="9"/>
  <c r="B111" i="9"/>
  <c r="B112" i="9"/>
  <c r="B113" i="9"/>
  <c r="B114" i="9"/>
  <c r="B115" i="9"/>
  <c r="B116" i="9"/>
  <c r="B117" i="9"/>
  <c r="B118" i="9"/>
  <c r="B90" i="9"/>
  <c r="B83" i="17"/>
  <c r="C83" i="17" s="1"/>
  <c r="B82" i="17"/>
  <c r="C82" i="17" s="1"/>
  <c r="B81" i="17"/>
  <c r="C81" i="17" s="1"/>
  <c r="B80" i="17"/>
  <c r="C80" i="17" s="1"/>
  <c r="B79" i="17"/>
  <c r="C79" i="17" s="1"/>
  <c r="B78" i="17"/>
  <c r="C78" i="17" s="1"/>
  <c r="B77" i="17"/>
  <c r="C77" i="17" s="1"/>
  <c r="I7" i="17" s="1"/>
  <c r="B70" i="17"/>
  <c r="C70" i="17" s="1"/>
  <c r="B68" i="17"/>
  <c r="C68" i="17" s="1"/>
  <c r="B67" i="17"/>
  <c r="C67" i="17" s="1"/>
  <c r="B66" i="17"/>
  <c r="C66" i="17" s="1"/>
  <c r="B65" i="17"/>
  <c r="C65" i="17" s="1"/>
  <c r="B64" i="17"/>
  <c r="C64" i="17" s="1"/>
  <c r="F7" i="17" s="1"/>
  <c r="B69" i="17"/>
  <c r="C69" i="17" s="1"/>
  <c r="E14" i="17"/>
  <c r="E13" i="17"/>
  <c r="I6" i="17"/>
  <c r="F6" i="17"/>
  <c r="J21" i="17" l="1"/>
  <c r="G21" i="17"/>
  <c r="J14" i="17"/>
  <c r="G14" i="17"/>
  <c r="J20" i="17"/>
  <c r="G20" i="17"/>
  <c r="G13" i="17"/>
  <c r="J13" i="17"/>
  <c r="F8" i="17"/>
  <c r="I8" i="17"/>
  <c r="E15" i="17"/>
  <c r="E22" i="17"/>
  <c r="J22" i="17" l="1"/>
  <c r="I33" i="17" s="1"/>
  <c r="G22" i="17"/>
  <c r="F33" i="17" s="1"/>
  <c r="J15" i="17"/>
  <c r="I32" i="17" s="1"/>
  <c r="G15" i="17"/>
  <c r="F32" i="17" s="1"/>
  <c r="E26" i="17"/>
  <c r="G26" i="17" s="1"/>
  <c r="J26" i="17" l="1"/>
  <c r="J28" i="17" s="1"/>
  <c r="I29" i="17" s="1"/>
  <c r="B18" i="2" s="1"/>
  <c r="I34" i="17" l="1"/>
  <c r="F34" i="17"/>
  <c r="G28" i="17"/>
  <c r="I35" i="17"/>
  <c r="J39" i="17" l="1"/>
  <c r="J41" i="17"/>
  <c r="I41" i="17" s="1"/>
  <c r="I38" i="17"/>
  <c r="F29" i="17"/>
  <c r="B17" i="2" s="1"/>
  <c r="F35" i="17"/>
  <c r="J40" i="17" l="1"/>
  <c r="I39" i="17"/>
  <c r="G41" i="17"/>
  <c r="F41" i="17" s="1"/>
  <c r="F38" i="17"/>
  <c r="G39" i="17"/>
  <c r="F39" i="17" s="1"/>
  <c r="J42" i="17" l="1"/>
  <c r="I42" i="17" s="1"/>
  <c r="I40" i="17"/>
  <c r="G40" i="17"/>
  <c r="G42" i="17" l="1"/>
  <c r="F40" i="17"/>
  <c r="F42" i="17" l="1"/>
  <c r="E42" i="17" s="1"/>
  <c r="F45" i="17" s="1"/>
  <c r="B16" i="2"/>
  <c r="F54" i="17" l="1"/>
  <c r="H64" i="17" s="1"/>
  <c r="I45" i="17"/>
  <c r="I54" i="17" s="1"/>
  <c r="H82" i="17" s="1"/>
  <c r="H65" i="17" l="1"/>
  <c r="F65" i="17"/>
  <c r="G68" i="17"/>
  <c r="F53" i="17"/>
  <c r="F55" i="17" s="1"/>
  <c r="F56" i="17" s="1"/>
  <c r="G65" i="17"/>
  <c r="F66" i="17"/>
  <c r="E70" i="17"/>
  <c r="G70" i="17"/>
  <c r="G66" i="17"/>
  <c r="E69" i="17"/>
  <c r="E65" i="17"/>
  <c r="F70" i="17"/>
  <c r="E64" i="17"/>
  <c r="F68" i="17"/>
  <c r="E68" i="17"/>
  <c r="F67" i="17"/>
  <c r="E66" i="17"/>
  <c r="H69" i="17"/>
  <c r="G67" i="17"/>
  <c r="H70" i="17"/>
  <c r="H67" i="17"/>
  <c r="G64" i="17"/>
  <c r="E67" i="17"/>
  <c r="G69" i="17"/>
  <c r="F69" i="17"/>
  <c r="H66" i="17"/>
  <c r="H68" i="17"/>
  <c r="F64" i="17"/>
  <c r="H83" i="17"/>
  <c r="G77" i="17"/>
  <c r="G83" i="17"/>
  <c r="F80" i="17"/>
  <c r="E82" i="17"/>
  <c r="E83" i="17"/>
  <c r="H80" i="17"/>
  <c r="E77" i="17"/>
  <c r="G80" i="17"/>
  <c r="E78" i="17"/>
  <c r="E81" i="17"/>
  <c r="F83" i="17"/>
  <c r="I53" i="17"/>
  <c r="I55" i="17" s="1"/>
  <c r="I56" i="17" s="1"/>
  <c r="G81" i="17"/>
  <c r="G78" i="17"/>
  <c r="G79" i="17"/>
  <c r="H79" i="17"/>
  <c r="H81" i="17"/>
  <c r="H77" i="17"/>
  <c r="F82" i="17"/>
  <c r="F77" i="17"/>
  <c r="H78" i="17"/>
  <c r="F78" i="17"/>
  <c r="E80" i="17"/>
  <c r="E79" i="17"/>
  <c r="F79" i="17"/>
  <c r="F81" i="17"/>
  <c r="G82" i="17"/>
  <c r="I66" i="17" l="1"/>
  <c r="J66" i="17" s="1"/>
  <c r="I65" i="17"/>
  <c r="J65" i="17" s="1"/>
  <c r="I68" i="17"/>
  <c r="J68" i="17" s="1"/>
  <c r="I78" i="17"/>
  <c r="J78" i="17" s="1"/>
  <c r="I69" i="17"/>
  <c r="J69" i="17" s="1"/>
  <c r="I70" i="17"/>
  <c r="J70" i="17" s="1"/>
  <c r="I64" i="17"/>
  <c r="J64" i="17" s="1"/>
  <c r="I67" i="17"/>
  <c r="J67" i="17" s="1"/>
  <c r="I57" i="17"/>
  <c r="I80" i="17"/>
  <c r="J80" i="17" s="1"/>
  <c r="I81" i="17"/>
  <c r="J81" i="17" s="1"/>
  <c r="I79" i="17"/>
  <c r="J79" i="17" s="1"/>
  <c r="I77" i="17"/>
  <c r="J77" i="17" s="1"/>
  <c r="I82" i="17"/>
  <c r="J82" i="17" s="1"/>
  <c r="I83" i="17"/>
  <c r="J83" i="17" s="1"/>
  <c r="J71" i="17" l="1"/>
  <c r="J72" i="17" s="1"/>
  <c r="J86" i="17" s="1"/>
  <c r="J84" i="17"/>
  <c r="J85" i="17" l="1"/>
  <c r="J87" i="17" s="1"/>
  <c r="J88" i="17" s="1"/>
  <c r="B24" i="2"/>
  <c r="B58" i="17" l="1"/>
  <c r="A38" i="2" s="1"/>
  <c r="B33" i="2" s="1"/>
  <c r="B36" i="2" s="1"/>
  <c r="A20" i="2"/>
  <c r="B28" i="2" s="1"/>
  <c r="B25" i="2"/>
  <c r="B26" i="2" l="1"/>
</calcChain>
</file>

<file path=xl/comments1.xml><?xml version="1.0" encoding="utf-8"?>
<comments xmlns="http://schemas.openxmlformats.org/spreadsheetml/2006/main">
  <authors>
    <author>Wayne Hodson</author>
  </authors>
  <commentList>
    <comment ref="C3" authorId="0" shapeId="0">
      <text>
        <r>
          <rPr>
            <sz val="8"/>
            <color indexed="81"/>
            <rFont val="Tahoma"/>
            <family val="2"/>
          </rPr>
          <t xml:space="preserve">Generally expected to be 20 minutes (minimum)
</t>
        </r>
      </text>
    </comment>
    <comment ref="F27" authorId="0" shapeId="0">
      <text>
        <r>
          <rPr>
            <sz val="8"/>
            <color indexed="81"/>
            <rFont val="Tahoma"/>
            <family val="2"/>
          </rPr>
          <t xml:space="preserve">Adjust if site is shaped such that part or all of the garden/grass areas </t>
        </r>
        <r>
          <rPr>
            <b/>
            <sz val="8"/>
            <color indexed="81"/>
            <rFont val="Tahoma"/>
            <family val="2"/>
          </rPr>
          <t xml:space="preserve">will </t>
        </r>
        <r>
          <rPr>
            <sz val="8"/>
            <color indexed="81"/>
            <rFont val="Tahoma"/>
            <family val="2"/>
          </rPr>
          <t>drain beyond the site in a short 10 min storm.  Default is 25% .</t>
        </r>
      </text>
    </comment>
  </commentList>
</comments>
</file>

<file path=xl/sharedStrings.xml><?xml version="1.0" encoding="utf-8"?>
<sst xmlns="http://schemas.openxmlformats.org/spreadsheetml/2006/main" count="273" uniqueCount="199">
  <si>
    <t>(min)</t>
  </si>
  <si>
    <t>Rain Depth</t>
  </si>
  <si>
    <t>(mm)</t>
  </si>
  <si>
    <t>ARI</t>
  </si>
  <si>
    <t>AEP</t>
  </si>
  <si>
    <t>10 min</t>
  </si>
  <si>
    <t>20 min</t>
  </si>
  <si>
    <t>30 min</t>
  </si>
  <si>
    <t>60 min</t>
  </si>
  <si>
    <t>2 hour</t>
  </si>
  <si>
    <t>6 hour</t>
  </si>
  <si>
    <t>12 hour</t>
  </si>
  <si>
    <t>24 hour</t>
  </si>
  <si>
    <t>48 hour</t>
  </si>
  <si>
    <t>72 hour</t>
  </si>
  <si>
    <t>5 year</t>
  </si>
  <si>
    <t>Intensity</t>
  </si>
  <si>
    <t>(mm/hr)</t>
  </si>
  <si>
    <t>(L)</t>
  </si>
  <si>
    <t>Proposed Development</t>
  </si>
  <si>
    <t>Roof Area</t>
  </si>
  <si>
    <t>Paved Area</t>
  </si>
  <si>
    <t>Garden/Grass Area</t>
  </si>
  <si>
    <r>
      <t>m</t>
    </r>
    <r>
      <rPr>
        <vertAlign val="superscript"/>
        <sz val="11"/>
        <color theme="1"/>
        <rFont val="Calibri"/>
        <family val="2"/>
        <scheme val="minor"/>
      </rPr>
      <t>2</t>
    </r>
  </si>
  <si>
    <t>Max Runoff Co-efficient</t>
  </si>
  <si>
    <t>C</t>
  </si>
  <si>
    <r>
      <t>CA (m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)</t>
    </r>
  </si>
  <si>
    <t>Max CA</t>
  </si>
  <si>
    <t>Total</t>
  </si>
  <si>
    <t>Permitted Runoff</t>
  </si>
  <si>
    <t>min</t>
  </si>
  <si>
    <t>l/s</t>
  </si>
  <si>
    <t>mm/hr</t>
  </si>
  <si>
    <t>Zoning</t>
  </si>
  <si>
    <t>Return Period</t>
  </si>
  <si>
    <t>5 Year</t>
  </si>
  <si>
    <t>50 Year</t>
  </si>
  <si>
    <t>50 yr</t>
  </si>
  <si>
    <t>50 year</t>
  </si>
  <si>
    <t>Max</t>
  </si>
  <si>
    <r>
      <t>(m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</si>
  <si>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t>litres</t>
  </si>
  <si>
    <t>5 yr Storage</t>
  </si>
  <si>
    <t>Equivalent C</t>
  </si>
  <si>
    <t>% of Garden Contributing</t>
  </si>
  <si>
    <t>% (5 yr)</t>
  </si>
  <si>
    <t>% (50 yr)</t>
  </si>
  <si>
    <t>Runoff Coefficients</t>
  </si>
  <si>
    <t>From NZ Building Code - E1 Surface Water</t>
  </si>
  <si>
    <t>Roofs</t>
  </si>
  <si>
    <t>Paved (Asphalt and Concrete)</t>
  </si>
  <si>
    <t>Stone, brick and concrete paving panels</t>
  </si>
  <si>
    <t>Gardens, lawns, etc</t>
  </si>
  <si>
    <t>m2</t>
  </si>
  <si>
    <t>Percentage</t>
  </si>
  <si>
    <t>Duration</t>
  </si>
  <si>
    <t>Rainfall Intensity (for site TOC)</t>
  </si>
  <si>
    <t>Allowable Qmax from Site (Site TOC)</t>
  </si>
  <si>
    <t>HIRDS v3.</t>
  </si>
  <si>
    <t>Site Name</t>
  </si>
  <si>
    <t>http://www.niwa.co.nz/our-services/online-services/hirds</t>
  </si>
  <si>
    <t>Location:</t>
  </si>
  <si>
    <t>Climate Change Allowed:</t>
  </si>
  <si>
    <r>
      <rPr>
        <vertAlign val="super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>C</t>
    </r>
  </si>
  <si>
    <t>1. Copy and paste rainfall data (Depth-Duration-Frequency) for the site from HIRDS V3 - see link below</t>
  </si>
  <si>
    <t>2. Note Site Location above</t>
  </si>
  <si>
    <t>3. Note Climate change allowance in rainfall depths above.</t>
  </si>
  <si>
    <t>Gordon Road, Hastings</t>
  </si>
  <si>
    <t>Storage Required</t>
  </si>
  <si>
    <t>(L/s)</t>
  </si>
  <si>
    <t>Non-Detention Flow</t>
  </si>
  <si>
    <t>Detention Components - Site TOC</t>
  </si>
  <si>
    <t>Potential Q - Roof (Site TOC)</t>
  </si>
  <si>
    <t>Allowable Max Flow Rate from Detention</t>
  </si>
  <si>
    <t>Max Flow to Detention</t>
  </si>
  <si>
    <t>Potential Q - Paved (Site TOC)</t>
  </si>
  <si>
    <t>Potential Q - Garden/Grass (Site TOC)</t>
  </si>
  <si>
    <t>Potential Q max (Site TOC)</t>
  </si>
  <si>
    <t>CA to Detention</t>
  </si>
  <si>
    <t>Runoff to Detention - Post Development</t>
  </si>
  <si>
    <t>Non Detention Runoff - Post Development</t>
  </si>
  <si>
    <t>Storage Discharge Assummed</t>
  </si>
  <si>
    <t>50 yr Storage (above 5 yr)</t>
  </si>
  <si>
    <t>Storage Contingency Factor</t>
  </si>
  <si>
    <t>Runoff Coefficient Garden/Grass</t>
  </si>
  <si>
    <t>% of Paved Area Contributing</t>
  </si>
  <si>
    <t>% of Roof Area Contributing</t>
  </si>
  <si>
    <t>Difference</t>
  </si>
  <si>
    <t>Twin (5yr and 50yr)</t>
  </si>
  <si>
    <t>Single (5yr)</t>
  </si>
  <si>
    <t>Total Property Area</t>
  </si>
  <si>
    <t>Total Paved Area</t>
  </si>
  <si>
    <t>Driveway Area</t>
  </si>
  <si>
    <t>Other Paved or Hardstand Areas</t>
  </si>
  <si>
    <t>Residential</t>
  </si>
  <si>
    <t>Proposed Building Roof Area</t>
  </si>
  <si>
    <t>Driveway and Other Hardstand Area</t>
  </si>
  <si>
    <t>0 to 15</t>
  </si>
  <si>
    <t>Building Roof Area</t>
  </si>
  <si>
    <t>0 to 100</t>
  </si>
  <si>
    <t>Garage Area</t>
  </si>
  <si>
    <t>31 to 50</t>
  </si>
  <si>
    <t>51 to 75</t>
  </si>
  <si>
    <t>76 to 100</t>
  </si>
  <si>
    <t>101 to 125</t>
  </si>
  <si>
    <t>126 to 150</t>
  </si>
  <si>
    <t>151 to 175</t>
  </si>
  <si>
    <t>176 to 200</t>
  </si>
  <si>
    <t>201 to 225</t>
  </si>
  <si>
    <t>226 to 250</t>
  </si>
  <si>
    <t>251 to 275</t>
  </si>
  <si>
    <t>276 to 300</t>
  </si>
  <si>
    <t>301 to 350</t>
  </si>
  <si>
    <t>351 to 400</t>
  </si>
  <si>
    <t>401 to 500</t>
  </si>
  <si>
    <t>16 to 30</t>
  </si>
  <si>
    <t>Garage Roof Area</t>
  </si>
  <si>
    <t>(m2)</t>
  </si>
  <si>
    <t>Total Roof Area</t>
  </si>
  <si>
    <t>Other Paved &amp; Hardstand Areas</t>
  </si>
  <si>
    <t>Remaining Area</t>
  </si>
  <si>
    <t>Development Type</t>
  </si>
  <si>
    <t>Other Paved &amp; Hardstand Area</t>
  </si>
  <si>
    <t>Garden / Grass Area</t>
  </si>
  <si>
    <t>Proportion of Flow To Detention</t>
  </si>
  <si>
    <t xml:space="preserve">0 to 100 </t>
  </si>
  <si>
    <t>Tanks / Storage Depth</t>
  </si>
  <si>
    <t>2001 or more</t>
  </si>
  <si>
    <t>1501 to 2000</t>
  </si>
  <si>
    <t>1001 to 1500</t>
  </si>
  <si>
    <t>501 to 1000</t>
  </si>
  <si>
    <t>301 to 500</t>
  </si>
  <si>
    <t>101 to 300</t>
  </si>
  <si>
    <t>Over 100</t>
  </si>
  <si>
    <t>Up to 20 (Single)</t>
  </si>
  <si>
    <t>Up to 40 (Double)</t>
  </si>
  <si>
    <t>Up to 60 (Triple)</t>
  </si>
  <si>
    <t>Restricted Flow Rate</t>
  </si>
  <si>
    <t>Storage Depth</t>
  </si>
  <si>
    <t>Outlet Orifice Size</t>
  </si>
  <si>
    <t>Spreadsheet provided to assist with calculation of on-site detention storage requirements for a particular development</t>
  </si>
  <si>
    <t>Limited version with assumptions for some input parameters and calculations to allow for general public use</t>
  </si>
  <si>
    <t>Simplified approach for public use</t>
  </si>
  <si>
    <t xml:space="preserve">            Total site area</t>
  </si>
  <si>
    <t xml:space="preserve">            Roof and paved areas</t>
  </si>
  <si>
    <t>Storage Volume</t>
  </si>
  <si>
    <t>Rounded Storage</t>
  </si>
  <si>
    <t>Available</t>
  </si>
  <si>
    <t>Storage Discharge Assumed</t>
  </si>
  <si>
    <t xml:space="preserve">   Select Type</t>
  </si>
  <si>
    <t>A. Site Details</t>
  </si>
  <si>
    <t>B. Detention Storage Required</t>
  </si>
  <si>
    <t xml:space="preserve">C. Storage Outlet </t>
  </si>
  <si>
    <t>Volume Calculations</t>
  </si>
  <si>
    <t>Design Storm Duration</t>
  </si>
  <si>
    <t xml:space="preserve">5 yr </t>
  </si>
  <si>
    <t xml:space="preserve">            Minimum roof area connected to storage shown</t>
  </si>
  <si>
    <t>Minimum Roof Area                  Connected to Storage</t>
  </si>
  <si>
    <t>Assumes single storage tank and outlet pipe. Multiple tanks or outlets require specific design</t>
  </si>
  <si>
    <t>% Flow Reduction from Detention Required</t>
  </si>
  <si>
    <t>Minimum Roof Area to Detention Required</t>
  </si>
  <si>
    <t>50 Year Storage Calc</t>
  </si>
  <si>
    <t>50 Year Storage Required</t>
  </si>
  <si>
    <t xml:space="preserve">            Results for required storage volume in grey cell</t>
  </si>
  <si>
    <t>Minimum Roof Area to Detention Calculation 1</t>
  </si>
  <si>
    <t>Minimum Roof Area to Detention Calculation 2</t>
  </si>
  <si>
    <t>% Roof Area (based on flow) for Site</t>
  </si>
  <si>
    <t>Scale of Roof to Detention Needed</t>
  </si>
  <si>
    <t>For Minimum Outlet Sizing</t>
  </si>
  <si>
    <r>
      <t>(m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</si>
  <si>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t>Minimum Storage Required</t>
  </si>
  <si>
    <t>For residential and commercial development of smaller scale (generally less than 0.2ha and single lots) within Hastings District</t>
  </si>
  <si>
    <t>Central Business District</t>
  </si>
  <si>
    <t>501 to 600</t>
  </si>
  <si>
    <t>601 to 700</t>
  </si>
  <si>
    <t>701 to 800</t>
  </si>
  <si>
    <t>801 to 900</t>
  </si>
  <si>
    <t>HDC ECOP</t>
  </si>
  <si>
    <t>Proportion of Driveway and Hardstand Contributing</t>
  </si>
  <si>
    <t>Driveway Area (Residential)</t>
  </si>
  <si>
    <t>Garage Roof Area (Residential)</t>
  </si>
  <si>
    <t>Nil or in Building Roof Area</t>
  </si>
  <si>
    <t xml:space="preserve">            Results for required storage outlet orifice in grey cell</t>
  </si>
  <si>
    <t xml:space="preserve">            Site Name</t>
  </si>
  <si>
    <t xml:space="preserve">            Development Type</t>
  </si>
  <si>
    <t>Minmum Storage Required</t>
  </si>
  <si>
    <t>Proposed Roof Area to be                          Connected to Storage</t>
  </si>
  <si>
    <t>Equivalent C Value (5 year)</t>
  </si>
  <si>
    <t>Equivalent C Value (50 year)</t>
  </si>
  <si>
    <t>Impervious %</t>
  </si>
  <si>
    <t>On-Site Detention Calculator - Version 06</t>
  </si>
  <si>
    <t>A. Enter Information in Yellow Cells in  Site Details:</t>
  </si>
  <si>
    <t xml:space="preserve">  Calculator Determines if Storage is Required</t>
  </si>
  <si>
    <t>C. Enter Proposed Storage Depth (tank height)</t>
  </si>
  <si>
    <t>B. Enter in Proposed Roof area to be connected to the storage                                                                                                         (Must be greater than Minimum Roof Area shown above)</t>
  </si>
  <si>
    <t>1. Introduction</t>
  </si>
  <si>
    <t>2. Limitations of Use</t>
  </si>
  <si>
    <t>3. Guidance Notes</t>
  </si>
  <si>
    <t>123 Example 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</si>
</sst>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u/>
      <sz val="11"/>
      <color theme="4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6600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auto="1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16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 vertical="center" wrapText="1"/>
    </xf>
    <xf numFmtId="0" fontId="4" fillId="0" borderId="0" xfId="0" applyFont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164" fontId="0" fillId="0" borderId="8" xfId="0" applyNumberFormat="1" applyBorder="1"/>
    <xf numFmtId="0" fontId="0" fillId="0" borderId="9" xfId="0" applyBorder="1"/>
    <xf numFmtId="0" fontId="1" fillId="0" borderId="5" xfId="0" applyFont="1" applyBorder="1" applyAlignment="1">
      <alignment horizontal="right"/>
    </xf>
    <xf numFmtId="0" fontId="0" fillId="0" borderId="0" xfId="0" applyBorder="1"/>
    <xf numFmtId="0" fontId="1" fillId="0" borderId="4" xfId="0" applyFont="1" applyBorder="1" applyAlignment="1">
      <alignment horizontal="right"/>
    </xf>
    <xf numFmtId="0" fontId="0" fillId="0" borderId="0" xfId="0" applyFont="1" applyBorder="1"/>
    <xf numFmtId="9" fontId="0" fillId="0" borderId="0" xfId="1" applyFont="1"/>
    <xf numFmtId="1" fontId="0" fillId="0" borderId="6" xfId="0" applyNumberFormat="1" applyBorder="1"/>
    <xf numFmtId="1" fontId="0" fillId="0" borderId="7" xfId="0" applyNumberFormat="1" applyBorder="1"/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2" borderId="1" xfId="0" applyFill="1" applyBorder="1" applyAlignment="1" applyProtection="1">
      <alignment horizontal="center"/>
      <protection locked="0"/>
    </xf>
    <xf numFmtId="9" fontId="0" fillId="2" borderId="1" xfId="1" applyFont="1" applyFill="1" applyBorder="1" applyAlignment="1" applyProtection="1">
      <alignment horizontal="center"/>
      <protection locked="0"/>
    </xf>
    <xf numFmtId="2" fontId="0" fillId="0" borderId="0" xfId="0" applyNumberFormat="1" applyBorder="1"/>
    <xf numFmtId="164" fontId="0" fillId="0" borderId="0" xfId="0" applyNumberFormat="1" applyBorder="1"/>
    <xf numFmtId="164" fontId="0" fillId="0" borderId="6" xfId="0" applyNumberFormat="1" applyBorder="1"/>
    <xf numFmtId="0" fontId="0" fillId="4" borderId="0" xfId="0" applyFill="1"/>
    <xf numFmtId="0" fontId="0" fillId="6" borderId="0" xfId="0" applyFill="1"/>
    <xf numFmtId="1" fontId="1" fillId="5" borderId="23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0" fillId="2" borderId="0" xfId="0" applyFill="1" applyProtection="1">
      <protection locked="0"/>
    </xf>
    <xf numFmtId="0" fontId="10" fillId="6" borderId="0" xfId="0" applyFont="1" applyFill="1" applyAlignment="1">
      <alignment horizontal="center"/>
    </xf>
    <xf numFmtId="0" fontId="0" fillId="7" borderId="0" xfId="0" applyFill="1" applyBorder="1" applyAlignment="1">
      <alignment wrapText="1"/>
    </xf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7" borderId="27" xfId="0" applyFill="1" applyBorder="1" applyAlignment="1">
      <alignment wrapText="1"/>
    </xf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1" fillId="4" borderId="0" xfId="0" applyFont="1" applyFill="1"/>
    <xf numFmtId="0" fontId="0" fillId="4" borderId="0" xfId="0" applyFill="1" applyAlignment="1">
      <alignment wrapText="1"/>
    </xf>
    <xf numFmtId="0" fontId="0" fillId="4" borderId="0" xfId="0" applyFill="1" applyAlignment="1">
      <alignment horizontal="left"/>
    </xf>
    <xf numFmtId="0" fontId="0" fillId="0" borderId="17" xfId="0" applyBorder="1"/>
    <xf numFmtId="0" fontId="6" fillId="0" borderId="16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left" vertical="top" wrapText="1"/>
    </xf>
    <xf numFmtId="0" fontId="0" fillId="0" borderId="18" xfId="0" applyBorder="1"/>
    <xf numFmtId="0" fontId="0" fillId="0" borderId="20" xfId="0" applyBorder="1"/>
    <xf numFmtId="0" fontId="0" fillId="0" borderId="21" xfId="0" applyBorder="1"/>
    <xf numFmtId="0" fontId="0" fillId="0" borderId="0" xfId="0"/>
    <xf numFmtId="0" fontId="1" fillId="0" borderId="0" xfId="0" applyFont="1"/>
    <xf numFmtId="164" fontId="0" fillId="0" borderId="0" xfId="0" applyNumberFormat="1"/>
    <xf numFmtId="0" fontId="1" fillId="0" borderId="0" xfId="0" applyFont="1" applyAlignment="1">
      <alignment horizontal="center"/>
    </xf>
    <xf numFmtId="164" fontId="0" fillId="0" borderId="4" xfId="0" applyNumberFormat="1" applyBorder="1"/>
    <xf numFmtId="0" fontId="0" fillId="0" borderId="5" xfId="0" applyFill="1" applyBorder="1"/>
    <xf numFmtId="0" fontId="0" fillId="0" borderId="7" xfId="0" applyFill="1" applyBorder="1"/>
    <xf numFmtId="164" fontId="0" fillId="0" borderId="6" xfId="0" applyNumberFormat="1" applyFont="1" applyBorder="1"/>
    <xf numFmtId="0" fontId="0" fillId="0" borderId="7" xfId="0" applyFont="1" applyFill="1" applyBorder="1"/>
    <xf numFmtId="1" fontId="0" fillId="0" borderId="0" xfId="0" applyNumberFormat="1" applyBorder="1"/>
    <xf numFmtId="2" fontId="0" fillId="0" borderId="8" xfId="0" applyNumberFormat="1" applyBorder="1"/>
    <xf numFmtId="1" fontId="0" fillId="0" borderId="9" xfId="0" applyNumberFormat="1" applyBorder="1"/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" fontId="1" fillId="0" borderId="0" xfId="0" applyNumberFormat="1" applyFont="1" applyAlignment="1">
      <alignment horizontal="center"/>
    </xf>
    <xf numFmtId="0" fontId="0" fillId="2" borderId="28" xfId="0" applyFill="1" applyBorder="1" applyProtection="1">
      <protection locked="0"/>
    </xf>
    <xf numFmtId="0" fontId="0" fillId="0" borderId="23" xfId="0" applyBorder="1"/>
    <xf numFmtId="0" fontId="0" fillId="0" borderId="10" xfId="0" applyBorder="1"/>
    <xf numFmtId="1" fontId="1" fillId="5" borderId="1" xfId="0" applyNumberFormat="1" applyFont="1" applyFill="1" applyBorder="1" applyAlignment="1">
      <alignment horizontal="center"/>
    </xf>
    <xf numFmtId="0" fontId="0" fillId="0" borderId="32" xfId="0" applyFill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0" fillId="0" borderId="7" xfId="0" applyFill="1" applyBorder="1" applyAlignment="1">
      <alignment horizontal="right"/>
    </xf>
    <xf numFmtId="0" fontId="1" fillId="3" borderId="0" xfId="0" applyFont="1" applyFill="1"/>
    <xf numFmtId="0" fontId="4" fillId="3" borderId="0" xfId="0" applyFont="1" applyFill="1"/>
    <xf numFmtId="0" fontId="1" fillId="0" borderId="4" xfId="0" applyFont="1" applyBorder="1" applyAlignment="1">
      <alignment horizontal="center"/>
    </xf>
    <xf numFmtId="0" fontId="1" fillId="0" borderId="33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0" fillId="0" borderId="8" xfId="0" applyBorder="1"/>
    <xf numFmtId="2" fontId="0" fillId="0" borderId="34" xfId="0" applyNumberFormat="1" applyBorder="1"/>
    <xf numFmtId="0" fontId="0" fillId="0" borderId="6" xfId="0" applyFill="1" applyBorder="1" applyAlignment="1" applyProtection="1">
      <alignment horizontal="center"/>
      <protection locked="0"/>
    </xf>
    <xf numFmtId="0" fontId="0" fillId="0" borderId="6" xfId="0" applyFill="1" applyBorder="1"/>
    <xf numFmtId="9" fontId="0" fillId="2" borderId="35" xfId="1" applyFont="1" applyFill="1" applyBorder="1" applyAlignment="1" applyProtection="1">
      <alignment horizontal="center"/>
      <protection locked="0"/>
    </xf>
    <xf numFmtId="9" fontId="0" fillId="0" borderId="4" xfId="1" applyFont="1" applyBorder="1"/>
    <xf numFmtId="9" fontId="0" fillId="0" borderId="6" xfId="1" applyFont="1" applyBorder="1"/>
    <xf numFmtId="9" fontId="0" fillId="0" borderId="8" xfId="1" applyFont="1" applyBorder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Protection="1"/>
    <xf numFmtId="0" fontId="0" fillId="0" borderId="0" xfId="0" applyFill="1" applyBorder="1" applyAlignment="1" applyProtection="1"/>
    <xf numFmtId="0" fontId="0" fillId="0" borderId="0" xfId="0" applyFont="1" applyBorder="1" applyProtection="1"/>
    <xf numFmtId="1" fontId="1" fillId="5" borderId="1" xfId="0" applyNumberFormat="1" applyFont="1" applyFill="1" applyBorder="1" applyAlignment="1" applyProtection="1">
      <alignment horizontal="center"/>
    </xf>
    <xf numFmtId="0" fontId="0" fillId="0" borderId="0" xfId="0" applyBorder="1" applyProtection="1"/>
    <xf numFmtId="0" fontId="0" fillId="0" borderId="22" xfId="0" applyFill="1" applyBorder="1" applyAlignment="1" applyProtection="1"/>
    <xf numFmtId="1" fontId="1" fillId="0" borderId="0" xfId="0" applyNumberFormat="1" applyFont="1" applyAlignment="1">
      <alignment horizontal="right"/>
    </xf>
    <xf numFmtId="0" fontId="6" fillId="0" borderId="19" xfId="0" applyFont="1" applyBorder="1" applyAlignment="1">
      <alignment horizontal="left" vertical="top" wrapText="1"/>
    </xf>
    <xf numFmtId="9" fontId="0" fillId="0" borderId="0" xfId="1" applyFont="1" applyBorder="1"/>
    <xf numFmtId="2" fontId="0" fillId="0" borderId="0" xfId="0" applyNumberFormat="1"/>
    <xf numFmtId="9" fontId="0" fillId="0" borderId="0" xfId="1" applyNumberFormat="1" applyFont="1" applyBorder="1"/>
    <xf numFmtId="1" fontId="0" fillId="0" borderId="0" xfId="1" applyNumberFormat="1" applyFont="1" applyBorder="1"/>
    <xf numFmtId="9" fontId="7" fillId="0" borderId="0" xfId="1" applyNumberFormat="1" applyFont="1" applyBorder="1"/>
    <xf numFmtId="165" fontId="0" fillId="0" borderId="0" xfId="1" applyNumberFormat="1" applyFont="1" applyBorder="1"/>
    <xf numFmtId="164" fontId="0" fillId="0" borderId="7" xfId="0" applyNumberFormat="1" applyBorder="1"/>
    <xf numFmtId="9" fontId="0" fillId="2" borderId="1" xfId="1" applyFont="1" applyFill="1" applyBorder="1" applyAlignment="1" applyProtection="1">
      <alignment horizontal="center"/>
    </xf>
    <xf numFmtId="0" fontId="0" fillId="0" borderId="6" xfId="0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0" fontId="1" fillId="4" borderId="0" xfId="0" applyFont="1" applyFill="1" applyAlignment="1">
      <alignment wrapText="1"/>
    </xf>
    <xf numFmtId="0" fontId="0" fillId="4" borderId="0" xfId="0" applyFill="1" applyAlignment="1">
      <alignment horizontal="left" wrapText="1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Fill="1" applyBorder="1"/>
    <xf numFmtId="0" fontId="0" fillId="0" borderId="0" xfId="0" applyFont="1" applyFill="1" applyBorder="1"/>
    <xf numFmtId="0" fontId="0" fillId="8" borderId="1" xfId="0" applyFill="1" applyBorder="1" applyAlignment="1" applyProtection="1">
      <alignment horizontal="center"/>
      <protection locked="0"/>
    </xf>
    <xf numFmtId="0" fontId="0" fillId="8" borderId="10" xfId="0" applyFill="1" applyBorder="1" applyAlignment="1" applyProtection="1">
      <alignment horizontal="center"/>
      <protection locked="0"/>
    </xf>
    <xf numFmtId="9" fontId="0" fillId="8" borderId="1" xfId="1" applyFont="1" applyFill="1" applyBorder="1" applyAlignment="1" applyProtection="1">
      <alignment horizontal="center"/>
      <protection locked="0"/>
    </xf>
    <xf numFmtId="0" fontId="4" fillId="0" borderId="39" xfId="0" applyFont="1" applyBorder="1"/>
    <xf numFmtId="0" fontId="1" fillId="0" borderId="39" xfId="0" applyFont="1" applyBorder="1"/>
    <xf numFmtId="0" fontId="0" fillId="0" borderId="41" xfId="0" applyFill="1" applyBorder="1" applyAlignment="1" applyProtection="1"/>
    <xf numFmtId="0" fontId="0" fillId="0" borderId="42" xfId="0" applyBorder="1"/>
    <xf numFmtId="0" fontId="0" fillId="0" borderId="39" xfId="0" applyBorder="1"/>
    <xf numFmtId="0" fontId="1" fillId="0" borderId="39" xfId="0" applyFont="1" applyFill="1" applyBorder="1" applyAlignment="1">
      <alignment horizontal="right"/>
    </xf>
    <xf numFmtId="0" fontId="1" fillId="0" borderId="39" xfId="0" applyFont="1" applyBorder="1" applyAlignment="1">
      <alignment horizontal="right" wrapText="1"/>
    </xf>
    <xf numFmtId="0" fontId="1" fillId="0" borderId="46" xfId="0" applyFont="1" applyBorder="1" applyAlignment="1">
      <alignment horizontal="right" wrapText="1"/>
    </xf>
    <xf numFmtId="0" fontId="0" fillId="8" borderId="47" xfId="0" applyFill="1" applyBorder="1" applyAlignment="1" applyProtection="1">
      <alignment horizontal="center"/>
      <protection locked="0"/>
    </xf>
    <xf numFmtId="0" fontId="0" fillId="0" borderId="48" xfId="0" applyFont="1" applyBorder="1"/>
    <xf numFmtId="0" fontId="0" fillId="0" borderId="49" xfId="0" applyBorder="1"/>
    <xf numFmtId="0" fontId="1" fillId="0" borderId="39" xfId="0" applyFont="1" applyBorder="1" applyProtection="1"/>
    <xf numFmtId="0" fontId="0" fillId="0" borderId="42" xfId="0" applyFill="1" applyBorder="1" applyAlignment="1" applyProtection="1"/>
    <xf numFmtId="0" fontId="0" fillId="0" borderId="42" xfId="0" applyBorder="1" applyProtection="1"/>
    <xf numFmtId="0" fontId="4" fillId="0" borderId="39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42" xfId="0" applyFont="1" applyBorder="1" applyAlignment="1" applyProtection="1">
      <alignment horizontal="center" vertical="center" wrapText="1"/>
    </xf>
    <xf numFmtId="0" fontId="4" fillId="0" borderId="3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9" fontId="7" fillId="5" borderId="1" xfId="1" applyFont="1" applyFill="1" applyBorder="1" applyAlignment="1">
      <alignment horizontal="center"/>
    </xf>
    <xf numFmtId="2" fontId="7" fillId="5" borderId="1" xfId="1" applyNumberFormat="1" applyFont="1" applyFill="1" applyBorder="1" applyAlignment="1">
      <alignment horizontal="center"/>
    </xf>
    <xf numFmtId="0" fontId="0" fillId="0" borderId="39" xfId="0" applyFont="1" applyBorder="1"/>
    <xf numFmtId="0" fontId="0" fillId="0" borderId="39" xfId="0" applyFont="1" applyBorder="1" applyProtection="1"/>
    <xf numFmtId="164" fontId="0" fillId="5" borderId="1" xfId="0" applyNumberFormat="1" applyFont="1" applyFill="1" applyBorder="1" applyAlignment="1" applyProtection="1">
      <alignment horizontal="center"/>
    </xf>
    <xf numFmtId="0" fontId="4" fillId="4" borderId="0" xfId="0" applyFont="1" applyFill="1" applyAlignment="1">
      <alignment wrapText="1"/>
    </xf>
    <xf numFmtId="0" fontId="11" fillId="4" borderId="0" xfId="0" applyFont="1" applyFill="1" applyAlignment="1">
      <alignment wrapText="1"/>
    </xf>
    <xf numFmtId="0" fontId="0" fillId="4" borderId="0" xfId="0" applyFont="1" applyFill="1" applyAlignment="1">
      <alignment wrapText="1"/>
    </xf>
    <xf numFmtId="0" fontId="11" fillId="9" borderId="43" xfId="0" applyFont="1" applyFill="1" applyBorder="1" applyAlignment="1" applyProtection="1">
      <alignment horizontal="center"/>
    </xf>
    <xf numFmtId="0" fontId="11" fillId="9" borderId="44" xfId="0" applyFont="1" applyFill="1" applyBorder="1" applyAlignment="1" applyProtection="1">
      <alignment horizontal="center"/>
    </xf>
    <xf numFmtId="0" fontId="11" fillId="9" borderId="45" xfId="0" applyFont="1" applyFill="1" applyBorder="1" applyAlignment="1" applyProtection="1">
      <alignment horizontal="center"/>
    </xf>
    <xf numFmtId="0" fontId="4" fillId="0" borderId="36" xfId="0" applyFont="1" applyBorder="1" applyAlignment="1" applyProtection="1">
      <alignment horizontal="center" vertical="center" wrapText="1"/>
    </xf>
    <xf numFmtId="0" fontId="4" fillId="0" borderId="37" xfId="0" applyFont="1" applyBorder="1" applyAlignment="1" applyProtection="1">
      <alignment horizontal="center" vertical="center" wrapText="1"/>
    </xf>
    <xf numFmtId="0" fontId="4" fillId="0" borderId="38" xfId="0" applyFont="1" applyBorder="1" applyAlignment="1" applyProtection="1">
      <alignment horizontal="center" vertical="center" wrapText="1"/>
    </xf>
    <xf numFmtId="0" fontId="11" fillId="0" borderId="0" xfId="0" applyFont="1" applyFill="1" applyAlignment="1">
      <alignment horizontal="center" wrapText="1"/>
    </xf>
    <xf numFmtId="0" fontId="0" fillId="8" borderId="2" xfId="0" applyFill="1" applyBorder="1" applyAlignment="1" applyProtection="1">
      <alignment horizontal="center"/>
      <protection locked="0"/>
    </xf>
    <xf numFmtId="0" fontId="0" fillId="8" borderId="3" xfId="0" applyFill="1" applyBorder="1" applyAlignment="1" applyProtection="1">
      <alignment horizontal="center"/>
      <protection locked="0"/>
    </xf>
    <xf numFmtId="0" fontId="0" fillId="8" borderId="40" xfId="0" applyFill="1" applyBorder="1" applyAlignment="1" applyProtection="1">
      <alignment horizontal="center"/>
      <protection locked="0"/>
    </xf>
    <xf numFmtId="0" fontId="11" fillId="9" borderId="43" xfId="0" applyFont="1" applyFill="1" applyBorder="1" applyAlignment="1">
      <alignment horizontal="center"/>
    </xf>
    <xf numFmtId="0" fontId="11" fillId="9" borderId="44" xfId="0" applyFont="1" applyFill="1" applyBorder="1" applyAlignment="1">
      <alignment horizontal="center"/>
    </xf>
    <xf numFmtId="0" fontId="11" fillId="9" borderId="45" xfId="0" applyFont="1" applyFill="1" applyBorder="1" applyAlignment="1">
      <alignment horizont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3" borderId="0" xfId="0" applyFont="1" applyFill="1" applyAlignment="1">
      <alignment horizontal="center"/>
    </xf>
    <xf numFmtId="0" fontId="5" fillId="0" borderId="13" xfId="0" applyFont="1" applyBorder="1" applyAlignment="1">
      <alignment horizontal="left" wrapText="1"/>
    </xf>
    <xf numFmtId="0" fontId="5" fillId="0" borderId="16" xfId="0" applyFont="1" applyBorder="1" applyAlignment="1">
      <alignment horizontal="left" wrapText="1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0" fillId="2" borderId="0" xfId="0" applyFill="1" applyAlignment="1" applyProtection="1">
      <alignment horizontal="left"/>
      <protection locked="0"/>
    </xf>
    <xf numFmtId="0" fontId="10" fillId="6" borderId="0" xfId="0" applyFont="1" applyFill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6600"/>
      <color rgb="FFCC9900"/>
      <color rgb="FFFFFF66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1</xdr:row>
      <xdr:rowOff>136922</xdr:rowOff>
    </xdr:from>
    <xdr:to>
      <xdr:col>0</xdr:col>
      <xdr:colOff>1828800</xdr:colOff>
      <xdr:row>4</xdr:row>
      <xdr:rowOff>89297</xdr:rowOff>
    </xdr:to>
    <xdr:pic>
      <xdr:nvPicPr>
        <xdr:cNvPr id="5" name="Picture 4" descr="MWH Logo Tagline Blue Grey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" y="327422"/>
          <a:ext cx="178117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4000500</xdr:colOff>
      <xdr:row>1</xdr:row>
      <xdr:rowOff>130969</xdr:rowOff>
    </xdr:from>
    <xdr:to>
      <xdr:col>0</xdr:col>
      <xdr:colOff>5830473</xdr:colOff>
      <xdr:row>4</xdr:row>
      <xdr:rowOff>123935</xdr:rowOff>
    </xdr:to>
    <xdr:pic>
      <xdr:nvPicPr>
        <xdr:cNvPr id="6" name="Picture 5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0500" y="398860"/>
          <a:ext cx="1829973" cy="56446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1</xdr:row>
      <xdr:rowOff>9525</xdr:rowOff>
    </xdr:from>
    <xdr:to>
      <xdr:col>1</xdr:col>
      <xdr:colOff>0</xdr:colOff>
      <xdr:row>3</xdr:row>
      <xdr:rowOff>152400</xdr:rowOff>
    </xdr:to>
    <xdr:pic>
      <xdr:nvPicPr>
        <xdr:cNvPr id="2" name="Picture 1" descr="MWH Logo Tagline Blue Grey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314325"/>
          <a:ext cx="178117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1069731</xdr:colOff>
      <xdr:row>1</xdr:row>
      <xdr:rowOff>7327</xdr:rowOff>
    </xdr:from>
    <xdr:to>
      <xdr:col>3</xdr:col>
      <xdr:colOff>540434</xdr:colOff>
      <xdr:row>4</xdr:row>
      <xdr:rowOff>293</xdr:rowOff>
    </xdr:to>
    <xdr:pic>
      <xdr:nvPicPr>
        <xdr:cNvPr id="4" name="Picture 3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33346" y="315058"/>
          <a:ext cx="1829973" cy="5644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hyperlink" Target="http://www.niwa.co.nz/our-services/online-services/hirds" TargetMode="Externa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52"/>
  <sheetViews>
    <sheetView tabSelected="1" zoomScale="160" zoomScaleNormal="160" zoomScaleSheetLayoutView="130" workbookViewId="0">
      <selection activeCell="C6" sqref="C6"/>
    </sheetView>
  </sheetViews>
  <sheetFormatPr defaultRowHeight="15" x14ac:dyDescent="0.25"/>
  <cols>
    <col min="1" max="1" width="91.42578125" style="49" customWidth="1"/>
    <col min="2" max="16384" width="9.140625" style="49"/>
  </cols>
  <sheetData>
    <row r="1" spans="1:11" ht="21" x14ac:dyDescent="0.35">
      <c r="A1" s="141" t="s">
        <v>190</v>
      </c>
      <c r="B1" s="106"/>
      <c r="C1" s="106"/>
      <c r="D1" s="106"/>
      <c r="E1" s="39"/>
      <c r="F1" s="39"/>
      <c r="G1" s="39"/>
      <c r="H1" s="39"/>
      <c r="I1" s="39"/>
      <c r="J1" s="39"/>
      <c r="K1" s="39"/>
    </row>
    <row r="2" spans="1:11" x14ac:dyDescent="0.25">
      <c r="A2" s="106"/>
      <c r="B2" s="106"/>
      <c r="C2" s="106"/>
      <c r="D2" s="106"/>
      <c r="E2" s="39"/>
      <c r="F2" s="39"/>
      <c r="G2" s="39"/>
      <c r="H2" s="39"/>
      <c r="I2" s="39"/>
      <c r="J2" s="39"/>
      <c r="K2" s="39"/>
    </row>
    <row r="3" spans="1:11" x14ac:dyDescent="0.25">
      <c r="A3" s="106"/>
      <c r="B3" s="106"/>
      <c r="C3" s="106"/>
      <c r="D3" s="106"/>
      <c r="E3" s="39"/>
      <c r="F3" s="39"/>
      <c r="G3" s="39"/>
      <c r="H3" s="39"/>
      <c r="I3" s="39"/>
      <c r="J3" s="39"/>
      <c r="K3" s="39"/>
    </row>
    <row r="4" spans="1:11" x14ac:dyDescent="0.25">
      <c r="A4" s="106"/>
      <c r="B4" s="106"/>
      <c r="C4" s="106"/>
      <c r="D4" s="106"/>
      <c r="E4" s="39"/>
      <c r="F4" s="39"/>
      <c r="G4" s="39"/>
      <c r="H4" s="39"/>
      <c r="I4" s="39"/>
      <c r="J4" s="39"/>
      <c r="K4" s="39"/>
    </row>
    <row r="5" spans="1:11" x14ac:dyDescent="0.25">
      <c r="A5" s="106"/>
      <c r="B5" s="106"/>
      <c r="C5" s="106"/>
      <c r="D5" s="106"/>
      <c r="E5" s="39"/>
      <c r="F5" s="39"/>
      <c r="G5" s="39"/>
      <c r="H5" s="39"/>
      <c r="I5" s="39"/>
      <c r="J5" s="39"/>
      <c r="K5" s="39"/>
    </row>
    <row r="6" spans="1:11" x14ac:dyDescent="0.25">
      <c r="A6" s="106"/>
      <c r="B6" s="106"/>
      <c r="C6" s="106"/>
      <c r="D6" s="106"/>
      <c r="E6" s="39"/>
      <c r="F6" s="39"/>
      <c r="G6" s="39"/>
      <c r="H6" s="39"/>
      <c r="I6" s="39"/>
      <c r="J6" s="39"/>
      <c r="K6" s="39"/>
    </row>
    <row r="7" spans="1:11" ht="18.75" x14ac:dyDescent="0.3">
      <c r="A7" s="140" t="s">
        <v>195</v>
      </c>
      <c r="B7" s="106"/>
      <c r="C7" s="106"/>
      <c r="D7" s="106"/>
      <c r="E7" s="39"/>
      <c r="F7" s="39"/>
      <c r="G7" s="39"/>
      <c r="H7" s="39"/>
      <c r="I7" s="39"/>
      <c r="J7" s="39"/>
      <c r="K7" s="39"/>
    </row>
    <row r="8" spans="1:11" ht="30" x14ac:dyDescent="0.25">
      <c r="A8" s="40" t="s">
        <v>140</v>
      </c>
      <c r="B8" s="40"/>
      <c r="C8" s="40"/>
      <c r="D8" s="40"/>
      <c r="E8" s="24"/>
      <c r="F8" s="24"/>
      <c r="G8" s="24"/>
      <c r="H8" s="24"/>
      <c r="I8" s="24"/>
      <c r="J8" s="24"/>
      <c r="K8" s="24"/>
    </row>
    <row r="9" spans="1:11" ht="30" x14ac:dyDescent="0.25">
      <c r="A9" s="40" t="s">
        <v>141</v>
      </c>
      <c r="B9" s="40"/>
      <c r="C9" s="40"/>
      <c r="D9" s="40"/>
      <c r="E9" s="40"/>
      <c r="F9" s="40"/>
      <c r="G9" s="40"/>
      <c r="H9" s="40"/>
      <c r="I9" s="40"/>
      <c r="J9" s="40"/>
      <c r="K9" s="40"/>
    </row>
    <row r="10" spans="1:11" x14ac:dyDescent="0.25">
      <c r="A10" s="40"/>
      <c r="B10" s="40"/>
      <c r="C10" s="40"/>
      <c r="D10" s="40"/>
      <c r="E10" s="40"/>
      <c r="F10" s="40"/>
      <c r="G10" s="40"/>
      <c r="H10" s="40"/>
      <c r="I10" s="40"/>
      <c r="J10" s="40"/>
      <c r="K10" s="40"/>
    </row>
    <row r="11" spans="1:11" ht="18.75" x14ac:dyDescent="0.3">
      <c r="A11" s="140" t="s">
        <v>196</v>
      </c>
      <c r="B11" s="106"/>
      <c r="C11" s="106"/>
      <c r="D11" s="106"/>
      <c r="E11" s="39"/>
      <c r="F11" s="39"/>
      <c r="G11" s="39"/>
      <c r="H11" s="39"/>
      <c r="I11" s="39"/>
      <c r="J11" s="39"/>
      <c r="K11" s="39"/>
    </row>
    <row r="12" spans="1:11" ht="30" x14ac:dyDescent="0.25">
      <c r="A12" s="40" t="s">
        <v>171</v>
      </c>
      <c r="B12" s="40"/>
      <c r="C12" s="40"/>
      <c r="D12" s="40"/>
      <c r="E12" s="24"/>
      <c r="F12" s="24"/>
      <c r="G12" s="24"/>
      <c r="H12" s="24"/>
      <c r="I12" s="24"/>
      <c r="J12" s="24"/>
      <c r="K12" s="24"/>
    </row>
    <row r="13" spans="1:11" x14ac:dyDescent="0.25">
      <c r="A13" s="40" t="s">
        <v>142</v>
      </c>
      <c r="B13" s="40"/>
      <c r="C13" s="40"/>
      <c r="D13" s="40"/>
      <c r="E13" s="24"/>
      <c r="F13" s="24"/>
      <c r="G13" s="24"/>
      <c r="H13" s="24"/>
      <c r="I13" s="24"/>
      <c r="J13" s="24"/>
      <c r="K13" s="24"/>
    </row>
    <row r="14" spans="1:11" x14ac:dyDescent="0.25">
      <c r="A14" s="40" t="s">
        <v>158</v>
      </c>
      <c r="B14" s="40"/>
      <c r="C14" s="40"/>
      <c r="D14" s="40"/>
      <c r="E14" s="24"/>
      <c r="F14" s="24"/>
      <c r="G14" s="24"/>
      <c r="H14" s="24"/>
      <c r="I14" s="24"/>
      <c r="J14" s="24"/>
      <c r="K14" s="24"/>
    </row>
    <row r="15" spans="1:11" x14ac:dyDescent="0.25">
      <c r="A15" s="40"/>
      <c r="B15" s="40"/>
      <c r="C15" s="40"/>
      <c r="D15" s="40"/>
      <c r="E15" s="24"/>
      <c r="F15" s="24"/>
      <c r="G15" s="24"/>
      <c r="H15" s="24"/>
      <c r="I15" s="24"/>
      <c r="J15" s="24"/>
      <c r="K15" s="24"/>
    </row>
    <row r="16" spans="1:11" ht="18.75" x14ac:dyDescent="0.3">
      <c r="A16" s="140" t="s">
        <v>197</v>
      </c>
      <c r="B16" s="106"/>
      <c r="C16" s="106"/>
      <c r="D16" s="106"/>
      <c r="E16" s="39"/>
      <c r="F16" s="39"/>
      <c r="G16" s="39"/>
      <c r="H16" s="39"/>
      <c r="I16" s="39"/>
      <c r="J16" s="39"/>
      <c r="K16" s="39"/>
    </row>
    <row r="17" spans="1:11" x14ac:dyDescent="0.25">
      <c r="A17" s="107" t="s">
        <v>191</v>
      </c>
      <c r="B17" s="107"/>
      <c r="C17" s="107"/>
      <c r="D17" s="107"/>
      <c r="E17" s="41"/>
      <c r="F17" s="41"/>
      <c r="G17" s="41"/>
      <c r="H17" s="41"/>
      <c r="I17" s="41"/>
      <c r="J17" s="41"/>
      <c r="K17" s="41"/>
    </row>
    <row r="18" spans="1:11" x14ac:dyDescent="0.25">
      <c r="A18" s="107" t="s">
        <v>183</v>
      </c>
      <c r="B18" s="107"/>
      <c r="C18" s="107"/>
      <c r="D18" s="107"/>
      <c r="E18" s="41"/>
      <c r="F18" s="41"/>
      <c r="G18" s="41"/>
      <c r="H18" s="41"/>
      <c r="I18" s="41"/>
      <c r="J18" s="41"/>
      <c r="K18" s="41"/>
    </row>
    <row r="19" spans="1:11" x14ac:dyDescent="0.25">
      <c r="A19" s="142" t="s">
        <v>184</v>
      </c>
      <c r="B19" s="106"/>
      <c r="C19" s="106"/>
      <c r="D19" s="106"/>
      <c r="E19" s="41"/>
      <c r="F19" s="41"/>
      <c r="G19" s="41"/>
      <c r="H19" s="41"/>
      <c r="I19" s="41"/>
      <c r="J19" s="41"/>
      <c r="K19" s="41"/>
    </row>
    <row r="20" spans="1:11" x14ac:dyDescent="0.25">
      <c r="A20" s="142" t="s">
        <v>143</v>
      </c>
      <c r="B20" s="106"/>
      <c r="C20" s="106"/>
      <c r="D20" s="106"/>
      <c r="E20" s="41"/>
      <c r="F20" s="41"/>
      <c r="G20" s="41"/>
      <c r="H20" s="41"/>
      <c r="I20" s="41"/>
      <c r="J20" s="41"/>
      <c r="K20" s="41"/>
    </row>
    <row r="21" spans="1:11" x14ac:dyDescent="0.25">
      <c r="A21" s="142" t="s">
        <v>144</v>
      </c>
      <c r="B21" s="106"/>
      <c r="C21" s="106"/>
      <c r="D21" s="106"/>
      <c r="E21" s="41"/>
      <c r="F21" s="41"/>
      <c r="G21" s="41"/>
      <c r="H21" s="41"/>
      <c r="I21" s="41"/>
      <c r="J21" s="41"/>
      <c r="K21" s="41"/>
    </row>
    <row r="22" spans="1:11" ht="19.5" customHeight="1" x14ac:dyDescent="0.25">
      <c r="A22" s="40" t="s">
        <v>192</v>
      </c>
      <c r="B22" s="40"/>
      <c r="C22" s="40"/>
      <c r="D22" s="40"/>
      <c r="E22" s="24"/>
      <c r="F22" s="24"/>
      <c r="G22" s="24"/>
      <c r="H22" s="24"/>
      <c r="I22" s="24"/>
      <c r="J22" s="24"/>
      <c r="K22" s="24"/>
    </row>
    <row r="23" spans="1:11" x14ac:dyDescent="0.25">
      <c r="A23" s="40" t="s">
        <v>163</v>
      </c>
      <c r="B23" s="40"/>
      <c r="C23" s="40"/>
      <c r="D23" s="40"/>
      <c r="E23" s="24"/>
      <c r="F23" s="24"/>
      <c r="G23" s="24"/>
      <c r="H23" s="24"/>
      <c r="I23" s="24"/>
      <c r="J23" s="24"/>
      <c r="K23" s="24"/>
    </row>
    <row r="24" spans="1:11" x14ac:dyDescent="0.25">
      <c r="A24" s="40" t="s">
        <v>156</v>
      </c>
      <c r="B24" s="40"/>
      <c r="C24" s="40"/>
      <c r="D24" s="40"/>
      <c r="E24" s="24"/>
      <c r="F24" s="24"/>
      <c r="G24" s="24"/>
      <c r="H24" s="24"/>
      <c r="I24" s="24"/>
      <c r="J24" s="24"/>
      <c r="K24" s="24"/>
    </row>
    <row r="25" spans="1:11" x14ac:dyDescent="0.25">
      <c r="A25" s="40"/>
      <c r="B25" s="40"/>
      <c r="C25" s="40"/>
      <c r="D25" s="40"/>
      <c r="E25" s="24"/>
      <c r="F25" s="24"/>
      <c r="G25" s="24"/>
      <c r="H25" s="24"/>
      <c r="I25" s="24"/>
      <c r="J25" s="24"/>
      <c r="K25" s="24"/>
    </row>
    <row r="26" spans="1:11" ht="30" x14ac:dyDescent="0.25">
      <c r="A26" s="106" t="s">
        <v>194</v>
      </c>
      <c r="B26" s="106"/>
      <c r="C26" s="106"/>
      <c r="D26" s="106"/>
      <c r="E26" s="24"/>
      <c r="F26" s="24"/>
      <c r="G26" s="24"/>
      <c r="H26" s="24"/>
      <c r="I26" s="24"/>
      <c r="J26" s="24"/>
      <c r="K26" s="24"/>
    </row>
    <row r="27" spans="1:11" x14ac:dyDescent="0.25">
      <c r="A27" s="106"/>
      <c r="B27" s="106"/>
      <c r="C27" s="106"/>
      <c r="D27" s="106"/>
      <c r="E27" s="24"/>
      <c r="F27" s="24"/>
      <c r="G27" s="24"/>
      <c r="H27" s="24"/>
      <c r="I27" s="24"/>
      <c r="J27" s="24"/>
      <c r="K27" s="24"/>
    </row>
    <row r="28" spans="1:11" x14ac:dyDescent="0.25">
      <c r="A28" s="40" t="s">
        <v>193</v>
      </c>
      <c r="B28" s="40"/>
      <c r="C28" s="40"/>
      <c r="D28" s="40"/>
      <c r="E28" s="24"/>
      <c r="F28" s="24"/>
      <c r="G28" s="24"/>
      <c r="H28" s="24"/>
      <c r="I28" s="24"/>
      <c r="J28" s="24"/>
      <c r="K28" s="24"/>
    </row>
    <row r="29" spans="1:11" x14ac:dyDescent="0.25">
      <c r="A29" s="40" t="s">
        <v>182</v>
      </c>
      <c r="B29" s="40"/>
      <c r="C29" s="40"/>
      <c r="D29" s="40"/>
      <c r="E29" s="24"/>
      <c r="F29" s="24"/>
      <c r="G29" s="24"/>
      <c r="H29" s="24"/>
      <c r="I29" s="24"/>
      <c r="J29" s="24"/>
      <c r="K29" s="24"/>
    </row>
    <row r="30" spans="1:11" x14ac:dyDescent="0.25">
      <c r="A30" s="40"/>
      <c r="B30" s="40"/>
      <c r="C30" s="40"/>
      <c r="D30" s="40"/>
      <c r="E30" s="24"/>
      <c r="F30" s="24"/>
      <c r="G30" s="24"/>
      <c r="H30" s="24"/>
      <c r="I30" s="24"/>
      <c r="J30" s="24"/>
      <c r="K30" s="24"/>
    </row>
    <row r="31" spans="1:11" x14ac:dyDescent="0.25">
      <c r="A31" s="40"/>
      <c r="B31" s="40"/>
      <c r="C31" s="40"/>
      <c r="D31" s="40"/>
      <c r="E31" s="39"/>
      <c r="F31" s="39"/>
      <c r="G31" s="39"/>
      <c r="H31" s="39"/>
      <c r="I31" s="39"/>
      <c r="J31" s="39"/>
      <c r="K31" s="39"/>
    </row>
    <row r="32" spans="1:11" x14ac:dyDescent="0.25">
      <c r="A32" s="106"/>
      <c r="B32" s="106"/>
      <c r="C32" s="106"/>
      <c r="D32" s="106"/>
      <c r="E32" s="39"/>
      <c r="F32" s="39"/>
      <c r="G32" s="39"/>
      <c r="H32" s="39"/>
      <c r="I32" s="39"/>
      <c r="J32" s="39"/>
      <c r="K32" s="39"/>
    </row>
    <row r="33" spans="1:11" x14ac:dyDescent="0.25">
      <c r="A33" s="107"/>
      <c r="B33" s="107"/>
      <c r="C33" s="107"/>
      <c r="D33" s="107"/>
      <c r="E33" s="39"/>
      <c r="F33" s="39"/>
      <c r="G33" s="39"/>
      <c r="H33" s="39"/>
      <c r="I33" s="39"/>
      <c r="J33" s="39"/>
      <c r="K33" s="39"/>
    </row>
    <row r="34" spans="1:11" x14ac:dyDescent="0.25">
      <c r="A34" s="107"/>
      <c r="B34" s="107"/>
      <c r="C34" s="107"/>
      <c r="D34" s="107"/>
      <c r="E34" s="24"/>
      <c r="F34" s="24"/>
      <c r="G34" s="24"/>
      <c r="H34" s="24"/>
      <c r="I34" s="24"/>
      <c r="J34" s="24"/>
      <c r="K34" s="24"/>
    </row>
    <row r="35" spans="1:11" x14ac:dyDescent="0.25">
      <c r="A35" s="106"/>
      <c r="B35" s="106"/>
      <c r="C35" s="106"/>
      <c r="D35" s="106"/>
      <c r="E35" s="40"/>
      <c r="F35" s="40"/>
      <c r="G35" s="40"/>
      <c r="H35" s="40"/>
      <c r="I35" s="40"/>
      <c r="J35" s="40"/>
      <c r="K35" s="40"/>
    </row>
    <row r="36" spans="1:11" x14ac:dyDescent="0.25">
      <c r="A36" s="106"/>
      <c r="B36" s="106"/>
      <c r="C36" s="106"/>
      <c r="D36" s="106"/>
      <c r="E36" s="40"/>
      <c r="F36" s="40"/>
      <c r="G36" s="40"/>
      <c r="H36" s="40"/>
      <c r="I36" s="40"/>
      <c r="J36" s="40"/>
      <c r="K36" s="40"/>
    </row>
    <row r="37" spans="1:11" x14ac:dyDescent="0.25">
      <c r="A37" s="106"/>
      <c r="B37" s="106"/>
      <c r="C37" s="106"/>
      <c r="D37" s="106"/>
      <c r="E37" s="39"/>
      <c r="F37" s="39"/>
      <c r="G37" s="39"/>
      <c r="H37" s="39"/>
      <c r="I37" s="39"/>
      <c r="J37" s="39"/>
      <c r="K37" s="39"/>
    </row>
    <row r="38" spans="1:11" x14ac:dyDescent="0.25">
      <c r="A38" s="40"/>
      <c r="B38" s="40"/>
      <c r="C38" s="40"/>
      <c r="D38" s="40"/>
      <c r="E38" s="24"/>
      <c r="F38" s="24"/>
      <c r="G38" s="24"/>
      <c r="H38" s="24"/>
      <c r="I38" s="24"/>
      <c r="J38" s="24"/>
      <c r="K38" s="24"/>
    </row>
    <row r="39" spans="1:11" x14ac:dyDescent="0.25">
      <c r="A39" s="40"/>
      <c r="B39" s="40"/>
      <c r="C39" s="40"/>
      <c r="D39" s="40"/>
      <c r="E39" s="24"/>
      <c r="F39" s="24"/>
      <c r="G39" s="24"/>
      <c r="H39" s="24"/>
      <c r="I39" s="24"/>
      <c r="J39" s="24"/>
      <c r="K39" s="24"/>
    </row>
    <row r="40" spans="1:11" x14ac:dyDescent="0.25">
      <c r="A40" s="40"/>
      <c r="B40" s="40"/>
      <c r="C40" s="40"/>
      <c r="D40" s="40"/>
      <c r="E40" s="24"/>
      <c r="F40" s="24"/>
      <c r="G40" s="24"/>
      <c r="H40" s="24"/>
      <c r="I40" s="24"/>
      <c r="J40" s="24"/>
      <c r="K40" s="24"/>
    </row>
    <row r="41" spans="1:11" x14ac:dyDescent="0.25">
      <c r="A41" s="106"/>
      <c r="B41" s="106"/>
      <c r="C41" s="106"/>
      <c r="D41" s="106"/>
      <c r="E41" s="24"/>
      <c r="F41" s="24"/>
      <c r="G41" s="24"/>
      <c r="H41" s="24"/>
      <c r="I41" s="24"/>
      <c r="J41" s="24"/>
      <c r="K41" s="24"/>
    </row>
    <row r="42" spans="1:11" x14ac:dyDescent="0.25">
      <c r="A42" s="40"/>
      <c r="B42" s="40"/>
      <c r="C42" s="40"/>
      <c r="D42" s="40"/>
      <c r="E42" s="39"/>
      <c r="F42" s="39"/>
      <c r="G42" s="39"/>
      <c r="H42" s="39"/>
      <c r="I42" s="39"/>
      <c r="J42" s="39"/>
      <c r="K42" s="39"/>
    </row>
    <row r="43" spans="1:11" x14ac:dyDescent="0.25">
      <c r="A43" s="40"/>
      <c r="B43" s="40"/>
      <c r="C43" s="40"/>
      <c r="D43" s="40"/>
      <c r="E43" s="41"/>
      <c r="F43" s="41"/>
      <c r="G43" s="41"/>
      <c r="H43" s="41"/>
      <c r="I43" s="41"/>
      <c r="J43" s="41"/>
      <c r="K43" s="41"/>
    </row>
    <row r="44" spans="1:11" x14ac:dyDescent="0.25">
      <c r="A44" s="40"/>
      <c r="B44" s="40"/>
      <c r="C44" s="40"/>
      <c r="D44" s="40"/>
      <c r="E44" s="41"/>
      <c r="F44" s="41"/>
      <c r="G44" s="41"/>
      <c r="H44" s="41"/>
      <c r="I44" s="41"/>
      <c r="J44" s="41"/>
      <c r="K44" s="41"/>
    </row>
    <row r="45" spans="1:11" x14ac:dyDescent="0.25">
      <c r="A45" s="40"/>
      <c r="B45" s="40"/>
      <c r="C45" s="40"/>
      <c r="D45" s="40"/>
      <c r="E45" s="41"/>
      <c r="F45" s="41"/>
      <c r="G45" s="41"/>
      <c r="H45" s="41"/>
      <c r="I45" s="41"/>
      <c r="J45" s="41"/>
      <c r="K45" s="41"/>
    </row>
    <row r="46" spans="1:11" x14ac:dyDescent="0.25">
      <c r="A46" s="106"/>
      <c r="B46" s="106"/>
      <c r="C46" s="106"/>
      <c r="D46" s="106"/>
      <c r="E46" s="41"/>
      <c r="F46" s="41"/>
      <c r="G46" s="41"/>
      <c r="H46" s="41"/>
      <c r="I46" s="41"/>
      <c r="J46" s="41"/>
      <c r="K46" s="41"/>
    </row>
    <row r="47" spans="1:11" x14ac:dyDescent="0.25">
      <c r="A47" s="107"/>
      <c r="B47" s="107"/>
      <c r="C47" s="107"/>
      <c r="D47" s="107"/>
      <c r="E47" s="41"/>
      <c r="F47" s="41"/>
      <c r="G47" s="41"/>
      <c r="H47" s="41"/>
      <c r="I47" s="41"/>
      <c r="J47" s="41"/>
      <c r="K47" s="41"/>
    </row>
    <row r="48" spans="1:11" x14ac:dyDescent="0.25">
      <c r="A48" s="107"/>
      <c r="B48" s="107"/>
      <c r="C48" s="107"/>
      <c r="D48" s="107"/>
      <c r="E48" s="24"/>
      <c r="F48" s="24"/>
      <c r="G48" s="24"/>
      <c r="H48" s="24"/>
      <c r="I48" s="24"/>
      <c r="J48" s="24"/>
      <c r="K48" s="24"/>
    </row>
    <row r="49" spans="1:11" x14ac:dyDescent="0.25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</row>
    <row r="50" spans="1:11" x14ac:dyDescent="0.25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</row>
    <row r="51" spans="1:11" x14ac:dyDescent="0.25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</row>
    <row r="52" spans="1:11" x14ac:dyDescent="0.25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</row>
  </sheetData>
  <sheetProtection password="EF0E" sheet="1" objects="1" scenarios="1" selectLockedCells="1"/>
  <customSheetViews>
    <customSheetView guid="{3D7EB65F-0FC5-47F2-9875-B5415B55E484}" scale="160" showPageBreaks="1" printArea="1" topLeftCell="A7">
      <selection activeCell="A9" sqref="A9"/>
      <pageMargins left="0.70866141732283472" right="0.70866141732283472" top="0.74803149606299213" bottom="0.74803149606299213" header="0.31496062992125984" footer="0.31496062992125984"/>
      <pageSetup paperSize="9" orientation="landscape" r:id="rId1"/>
    </customSheetView>
    <customSheetView guid="{92152A40-AC35-40DB-8CA0-26244A2F5883}" scale="130" showPageBreaks="1" view="pageBreakPreview">
      <selection activeCell="A8" sqref="A8"/>
    </customSheetView>
  </customSheetViews>
  <pageMargins left="0.70866141732283472" right="0.70866141732283472" top="0.70866141732283472" bottom="0.74803149606299213" header="0.31496062992125984" footer="0.31496062992125984"/>
  <pageSetup paperSize="9" orientation="portrait" r:id="rId2"/>
  <headerFooter>
    <oddFooter>&amp;L&amp;D &amp;T&amp;RV06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143"/>
  <sheetViews>
    <sheetView zoomScale="130" zoomScaleNormal="130" zoomScaleSheetLayoutView="150" workbookViewId="0">
      <selection activeCell="B29" sqref="B29"/>
    </sheetView>
  </sheetViews>
  <sheetFormatPr defaultRowHeight="15" x14ac:dyDescent="0.25"/>
  <cols>
    <col min="1" max="1" width="29.42578125" customWidth="1"/>
    <col min="2" max="2" width="30.140625" customWidth="1"/>
    <col min="3" max="3" width="5.28515625" customWidth="1"/>
    <col min="4" max="4" width="9.140625" customWidth="1"/>
    <col min="5" max="5" width="13.140625" hidden="1" customWidth="1"/>
    <col min="7" max="7" width="21.28515625" customWidth="1"/>
    <col min="8" max="8" width="10.5703125" bestFit="1" customWidth="1"/>
  </cols>
  <sheetData>
    <row r="1" spans="1:5" s="49" customFormat="1" ht="24" customHeight="1" x14ac:dyDescent="0.35">
      <c r="A1" s="149" t="s">
        <v>190</v>
      </c>
      <c r="B1" s="149"/>
      <c r="C1" s="149"/>
      <c r="D1" s="149"/>
    </row>
    <row r="2" spans="1:5" s="49" customFormat="1" x14ac:dyDescent="0.25"/>
    <row r="3" spans="1:5" s="49" customFormat="1" x14ac:dyDescent="0.25"/>
    <row r="4" spans="1:5" s="49" customFormat="1" x14ac:dyDescent="0.25"/>
    <row r="5" spans="1:5" s="49" customFormat="1" ht="15.75" thickBot="1" x14ac:dyDescent="0.3"/>
    <row r="6" spans="1:5" ht="19.5" thickTop="1" x14ac:dyDescent="0.25">
      <c r="A6" s="156" t="s">
        <v>150</v>
      </c>
      <c r="B6" s="157"/>
      <c r="C6" s="157"/>
      <c r="D6" s="158"/>
      <c r="E6" s="49"/>
    </row>
    <row r="7" spans="1:5" s="49" customFormat="1" ht="15.75" customHeight="1" thickBot="1" x14ac:dyDescent="0.3">
      <c r="A7" s="132"/>
      <c r="B7" s="133"/>
      <c r="C7" s="133"/>
      <c r="D7" s="134"/>
    </row>
    <row r="8" spans="1:5" ht="19.5" thickBot="1" x14ac:dyDescent="0.35">
      <c r="A8" s="115" t="s">
        <v>59</v>
      </c>
      <c r="B8" s="150" t="s">
        <v>198</v>
      </c>
      <c r="C8" s="151"/>
      <c r="D8" s="152"/>
      <c r="E8" s="49"/>
    </row>
    <row r="9" spans="1:5" ht="18" customHeight="1" thickBot="1" x14ac:dyDescent="0.3">
      <c r="A9" s="116" t="s">
        <v>121</v>
      </c>
      <c r="B9" s="112" t="s">
        <v>94</v>
      </c>
      <c r="C9" s="93"/>
      <c r="D9" s="117"/>
      <c r="E9" s="49"/>
    </row>
    <row r="10" spans="1:5" ht="18" customHeight="1" thickBot="1" x14ac:dyDescent="0.3">
      <c r="A10" s="116" t="s">
        <v>90</v>
      </c>
      <c r="B10" s="113">
        <v>1000</v>
      </c>
      <c r="C10" s="13" t="s">
        <v>40</v>
      </c>
      <c r="D10" s="118"/>
      <c r="E10" s="49"/>
    </row>
    <row r="11" spans="1:5" ht="18" customHeight="1" thickBot="1" x14ac:dyDescent="0.3">
      <c r="A11" s="116" t="s">
        <v>95</v>
      </c>
      <c r="B11" s="112">
        <v>300</v>
      </c>
      <c r="C11" s="13" t="s">
        <v>40</v>
      </c>
      <c r="D11" s="118"/>
      <c r="E11" s="49"/>
    </row>
    <row r="12" spans="1:5" s="49" customFormat="1" ht="18" customHeight="1" thickBot="1" x14ac:dyDescent="0.3">
      <c r="A12" s="116" t="s">
        <v>180</v>
      </c>
      <c r="B12" s="114" t="s">
        <v>181</v>
      </c>
      <c r="C12" s="13" t="s">
        <v>40</v>
      </c>
      <c r="D12" s="118"/>
    </row>
    <row r="13" spans="1:5" s="49" customFormat="1" ht="18" customHeight="1" thickBot="1" x14ac:dyDescent="0.3">
      <c r="A13" s="116" t="s">
        <v>179</v>
      </c>
      <c r="B13" s="112" t="s">
        <v>101</v>
      </c>
      <c r="C13" s="13" t="s">
        <v>40</v>
      </c>
      <c r="D13" s="118"/>
    </row>
    <row r="14" spans="1:5" s="49" customFormat="1" ht="18" customHeight="1" thickBot="1" x14ac:dyDescent="0.3">
      <c r="A14" s="116" t="s">
        <v>93</v>
      </c>
      <c r="B14" s="112">
        <v>50</v>
      </c>
      <c r="C14" s="13" t="s">
        <v>40</v>
      </c>
      <c r="D14" s="118"/>
    </row>
    <row r="15" spans="1:5" s="49" customFormat="1" ht="18" customHeight="1" thickBot="1" x14ac:dyDescent="0.3">
      <c r="A15" s="116"/>
      <c r="B15" s="108"/>
      <c r="C15" s="13"/>
      <c r="D15" s="118"/>
    </row>
    <row r="16" spans="1:5" s="49" customFormat="1" ht="18" customHeight="1" thickBot="1" x14ac:dyDescent="0.3">
      <c r="A16" s="137" t="s">
        <v>189</v>
      </c>
      <c r="B16" s="135">
        <f>('Storage Calc'!E15+'Storage Calc'!E22)/B10</f>
        <v>0.4</v>
      </c>
      <c r="C16" s="13"/>
      <c r="D16" s="118"/>
    </row>
    <row r="17" spans="1:8" s="49" customFormat="1" ht="18" customHeight="1" thickBot="1" x14ac:dyDescent="0.3">
      <c r="A17" s="137" t="s">
        <v>187</v>
      </c>
      <c r="B17" s="136">
        <f>'Storage Calc'!F29</f>
        <v>0.432</v>
      </c>
      <c r="C17" s="13"/>
      <c r="D17" s="118"/>
    </row>
    <row r="18" spans="1:8" s="49" customFormat="1" ht="18" customHeight="1" thickBot="1" x14ac:dyDescent="0.3">
      <c r="A18" s="137" t="s">
        <v>188</v>
      </c>
      <c r="B18" s="136">
        <f>'Storage Calc'!I29</f>
        <v>0.58499999999999996</v>
      </c>
      <c r="C18" s="13"/>
      <c r="D18" s="118"/>
    </row>
    <row r="19" spans="1:8" s="49" customFormat="1" ht="18" customHeight="1" thickBot="1" x14ac:dyDescent="0.3">
      <c r="A19" s="116"/>
      <c r="B19" s="11"/>
      <c r="C19" s="11"/>
      <c r="D19" s="118"/>
    </row>
    <row r="20" spans="1:8" s="49" customFormat="1" ht="25.5" customHeight="1" thickBot="1" x14ac:dyDescent="0.4">
      <c r="A20" s="153" t="str">
        <f>IF(B16&gt;1,"AREAS EXCEED TOTAL PROPERTY AREA",IF('Storage Calc'!J88+'Storage Calc'!J72=0, "NO STORAGE REQUIRED","Storage Required - See below"))</f>
        <v>NO STORAGE REQUIRED</v>
      </c>
      <c r="B20" s="154"/>
      <c r="C20" s="154"/>
      <c r="D20" s="155"/>
    </row>
    <row r="21" spans="1:8" ht="21" customHeight="1" thickTop="1" thickBot="1" x14ac:dyDescent="0.3">
      <c r="A21" s="49"/>
      <c r="B21" s="49"/>
      <c r="C21" s="49"/>
      <c r="D21" s="49"/>
      <c r="E21" s="49"/>
    </row>
    <row r="22" spans="1:8" s="49" customFormat="1" ht="18" customHeight="1" thickTop="1" x14ac:dyDescent="0.25">
      <c r="A22" s="156" t="s">
        <v>151</v>
      </c>
      <c r="B22" s="157"/>
      <c r="C22" s="157"/>
      <c r="D22" s="158"/>
    </row>
    <row r="23" spans="1:8" s="49" customFormat="1" ht="14.25" customHeight="1" thickBot="1" x14ac:dyDescent="0.3">
      <c r="A23" s="119"/>
      <c r="B23" s="108"/>
      <c r="C23" s="109"/>
      <c r="D23" s="118"/>
    </row>
    <row r="24" spans="1:8" s="49" customFormat="1" ht="18" hidden="1" customHeight="1" thickBot="1" x14ac:dyDescent="0.3">
      <c r="A24" s="120" t="s">
        <v>42</v>
      </c>
      <c r="B24" s="26" t="str">
        <f>IF('Storage Calc'!J71&lt;500,"Nil",'Storage Calc'!J72)</f>
        <v>Nil</v>
      </c>
      <c r="C24" s="110" t="s">
        <v>41</v>
      </c>
      <c r="D24" s="118"/>
    </row>
    <row r="25" spans="1:8" s="49" customFormat="1" ht="18" hidden="1" customHeight="1" thickBot="1" x14ac:dyDescent="0.3">
      <c r="A25" s="120" t="s">
        <v>82</v>
      </c>
      <c r="B25" s="26" t="str">
        <f>IF('Storage Calc'!J88=0,"Nil",'Storage Calc'!J88)</f>
        <v>Nil</v>
      </c>
      <c r="C25" s="110" t="s">
        <v>41</v>
      </c>
      <c r="D25" s="118"/>
    </row>
    <row r="26" spans="1:8" s="49" customFormat="1" ht="18" customHeight="1" thickBot="1" x14ac:dyDescent="0.3">
      <c r="A26" s="120" t="s">
        <v>170</v>
      </c>
      <c r="B26" s="68" t="str">
        <f>IF(B29&gt;B11,"Reduce Roof Area to Storage",'Storage Calc'!B58)</f>
        <v>Nil</v>
      </c>
      <c r="C26" s="111" t="s">
        <v>41</v>
      </c>
      <c r="D26" s="118"/>
    </row>
    <row r="27" spans="1:8" s="49" customFormat="1" ht="18" customHeight="1" thickBot="1" x14ac:dyDescent="0.3">
      <c r="A27" s="119"/>
      <c r="B27" s="11"/>
      <c r="C27" s="13"/>
      <c r="D27" s="118"/>
      <c r="G27" s="51"/>
      <c r="H27" s="51"/>
    </row>
    <row r="28" spans="1:8" s="49" customFormat="1" ht="34.5" customHeight="1" thickBot="1" x14ac:dyDescent="0.3">
      <c r="A28" s="121" t="s">
        <v>157</v>
      </c>
      <c r="B28" s="68" t="str">
        <f>IF(A20="No Storage Required","Nil",'Storage Calc'!E42)</f>
        <v>Nil</v>
      </c>
      <c r="C28" s="13" t="s">
        <v>169</v>
      </c>
      <c r="D28" s="118"/>
      <c r="G28" s="51"/>
      <c r="H28" s="51"/>
    </row>
    <row r="29" spans="1:8" s="49" customFormat="1" ht="35.25" customHeight="1" thickBot="1" x14ac:dyDescent="0.3">
      <c r="A29" s="122" t="s">
        <v>186</v>
      </c>
      <c r="B29" s="123">
        <v>0</v>
      </c>
      <c r="C29" s="124" t="s">
        <v>40</v>
      </c>
      <c r="D29" s="125"/>
    </row>
    <row r="30" spans="1:8" s="49" customFormat="1" ht="21.75" customHeight="1" thickTop="1" thickBot="1" x14ac:dyDescent="0.3">
      <c r="A30" s="50"/>
      <c r="B30" s="14"/>
    </row>
    <row r="31" spans="1:8" ht="19.5" thickTop="1" x14ac:dyDescent="0.25">
      <c r="A31" s="146" t="s">
        <v>152</v>
      </c>
      <c r="B31" s="147"/>
      <c r="C31" s="147"/>
      <c r="D31" s="148"/>
      <c r="E31" s="49"/>
    </row>
    <row r="32" spans="1:8" s="49" customFormat="1" ht="15.75" customHeight="1" thickBot="1" x14ac:dyDescent="0.3">
      <c r="A32" s="129"/>
      <c r="B32" s="130"/>
      <c r="C32" s="130"/>
      <c r="D32" s="131"/>
    </row>
    <row r="33" spans="1:5" ht="15.75" thickBot="1" x14ac:dyDescent="0.3">
      <c r="A33" s="138" t="s">
        <v>137</v>
      </c>
      <c r="B33" s="139" t="str">
        <f>IF(A38="No Storage Required","Nil",'Storage Calc'!F56)</f>
        <v>Nil</v>
      </c>
      <c r="C33" s="89" t="s">
        <v>31</v>
      </c>
      <c r="D33" s="127"/>
      <c r="E33" s="49"/>
    </row>
    <row r="34" spans="1:5" ht="15.75" thickBot="1" x14ac:dyDescent="0.3">
      <c r="A34" s="126" t="s">
        <v>138</v>
      </c>
      <c r="B34" s="112">
        <v>1500</v>
      </c>
      <c r="C34" s="90" t="s">
        <v>2</v>
      </c>
      <c r="D34" s="128"/>
      <c r="E34" s="49"/>
    </row>
    <row r="35" spans="1:5" ht="15.75" thickBot="1" x14ac:dyDescent="0.3">
      <c r="A35" s="126"/>
      <c r="B35" s="92"/>
      <c r="C35" s="90"/>
      <c r="D35" s="128"/>
      <c r="E35" s="49"/>
    </row>
    <row r="36" spans="1:5" ht="15.75" thickBot="1" x14ac:dyDescent="0.3">
      <c r="A36" s="126" t="s">
        <v>139</v>
      </c>
      <c r="B36" s="91" t="str">
        <f>IF(A38="No Storage Required","Nil",IF(B34&gt;0,ROUND(SQRT(B$33/1000*0.4637/SQRT($B$34/1000))*2,2)*500,"Enter Storage Depth"))</f>
        <v>Nil</v>
      </c>
      <c r="C36" s="90" t="s">
        <v>2</v>
      </c>
      <c r="D36" s="128"/>
      <c r="E36" s="49"/>
    </row>
    <row r="37" spans="1:5" ht="15.75" thickBot="1" x14ac:dyDescent="0.3">
      <c r="A37" s="126"/>
      <c r="B37" s="92"/>
      <c r="C37" s="92"/>
      <c r="D37" s="128"/>
      <c r="E37" s="49"/>
    </row>
    <row r="38" spans="1:5" ht="28.5" customHeight="1" thickBot="1" x14ac:dyDescent="0.4">
      <c r="A38" s="143" t="str">
        <f>IF('Storage Calc'!B58="nil", "NO STORAGE REQUIRED", "Refer to Guidance for Storage Details")</f>
        <v>NO STORAGE REQUIRED</v>
      </c>
      <c r="B38" s="144"/>
      <c r="C38" s="144"/>
      <c r="D38" s="145"/>
      <c r="E38" s="49"/>
    </row>
    <row r="39" spans="1:5" ht="15.75" thickTop="1" x14ac:dyDescent="0.25">
      <c r="A39" s="88"/>
      <c r="B39" s="88"/>
      <c r="C39" s="88"/>
      <c r="D39" s="88"/>
      <c r="E39" s="49"/>
    </row>
    <row r="40" spans="1:5" x14ac:dyDescent="0.25">
      <c r="A40" s="88"/>
      <c r="B40" s="88"/>
      <c r="C40" s="88"/>
      <c r="D40" s="88"/>
      <c r="E40" s="49"/>
    </row>
    <row r="46" spans="1:5" s="49" customFormat="1" x14ac:dyDescent="0.25"/>
    <row r="47" spans="1:5" s="49" customFormat="1" x14ac:dyDescent="0.25"/>
    <row r="48" spans="1:5" s="49" customFormat="1" x14ac:dyDescent="0.25"/>
    <row r="49" spans="5:5" s="49" customFormat="1" x14ac:dyDescent="0.25"/>
    <row r="50" spans="5:5" s="49" customFormat="1" x14ac:dyDescent="0.25"/>
    <row r="51" spans="5:5" x14ac:dyDescent="0.25">
      <c r="E51" s="11"/>
    </row>
    <row r="52" spans="5:5" s="49" customFormat="1" x14ac:dyDescent="0.25">
      <c r="E52" s="11"/>
    </row>
    <row r="53" spans="5:5" s="49" customFormat="1" x14ac:dyDescent="0.25">
      <c r="E53" s="11"/>
    </row>
    <row r="55" spans="5:5" s="49" customFormat="1" x14ac:dyDescent="0.25"/>
    <row r="56" spans="5:5" s="49" customFormat="1" x14ac:dyDescent="0.25"/>
    <row r="57" spans="5:5" s="49" customFormat="1" x14ac:dyDescent="0.25"/>
    <row r="58" spans="5:5" s="49" customFormat="1" x14ac:dyDescent="0.25"/>
    <row r="59" spans="5:5" s="49" customFormat="1" x14ac:dyDescent="0.25"/>
    <row r="60" spans="5:5" s="49" customFormat="1" x14ac:dyDescent="0.25"/>
    <row r="61" spans="5:5" s="49" customFormat="1" x14ac:dyDescent="0.25"/>
    <row r="62" spans="5:5" s="49" customFormat="1" x14ac:dyDescent="0.25"/>
    <row r="63" spans="5:5" s="49" customFormat="1" x14ac:dyDescent="0.25"/>
    <row r="64" spans="5:5" s="49" customFormat="1" x14ac:dyDescent="0.25"/>
    <row r="65" spans="5:7" s="49" customFormat="1" x14ac:dyDescent="0.25"/>
    <row r="66" spans="5:7" s="49" customFormat="1" x14ac:dyDescent="0.25"/>
    <row r="67" spans="5:7" s="49" customFormat="1" x14ac:dyDescent="0.25"/>
    <row r="68" spans="5:7" s="49" customFormat="1" x14ac:dyDescent="0.25"/>
    <row r="70" spans="5:7" x14ac:dyDescent="0.25">
      <c r="E70" s="49"/>
    </row>
    <row r="71" spans="5:7" ht="48" customHeight="1" x14ac:dyDescent="0.25"/>
    <row r="73" spans="5:7" x14ac:dyDescent="0.25">
      <c r="G73" s="63"/>
    </row>
    <row r="74" spans="5:7" x14ac:dyDescent="0.25">
      <c r="E74" s="49"/>
      <c r="G74" s="63"/>
    </row>
    <row r="75" spans="5:7" x14ac:dyDescent="0.25">
      <c r="E75" s="49"/>
      <c r="G75" s="63"/>
    </row>
    <row r="76" spans="5:7" x14ac:dyDescent="0.25">
      <c r="E76" s="49"/>
      <c r="G76" s="63"/>
    </row>
    <row r="77" spans="5:7" x14ac:dyDescent="0.25">
      <c r="E77" s="49"/>
      <c r="G77" s="63"/>
    </row>
    <row r="78" spans="5:7" x14ac:dyDescent="0.25">
      <c r="E78" s="49"/>
      <c r="G78" s="63"/>
    </row>
    <row r="79" spans="5:7" x14ac:dyDescent="0.25">
      <c r="E79" s="49"/>
      <c r="G79" s="63"/>
    </row>
    <row r="81" spans="5:5" x14ac:dyDescent="0.25">
      <c r="E81" s="1"/>
    </row>
    <row r="82" spans="5:5" x14ac:dyDescent="0.25">
      <c r="E82" s="2"/>
    </row>
    <row r="83" spans="5:5" ht="45" customHeight="1" x14ac:dyDescent="0.25"/>
    <row r="92" spans="5:5" x14ac:dyDescent="0.25">
      <c r="E92" s="1"/>
    </row>
    <row r="93" spans="5:5" x14ac:dyDescent="0.25">
      <c r="E93" s="1"/>
    </row>
    <row r="94" spans="5:5" x14ac:dyDescent="0.25">
      <c r="E94" s="2"/>
    </row>
    <row r="95" spans="5:5" ht="45" customHeight="1" x14ac:dyDescent="0.25"/>
    <row r="97" spans="5:5" x14ac:dyDescent="0.25">
      <c r="E97" s="49"/>
    </row>
    <row r="98" spans="5:5" x14ac:dyDescent="0.25">
      <c r="E98" s="49"/>
    </row>
    <row r="99" spans="5:5" x14ac:dyDescent="0.25">
      <c r="E99" s="49"/>
    </row>
    <row r="100" spans="5:5" x14ac:dyDescent="0.25">
      <c r="E100" s="49"/>
    </row>
    <row r="101" spans="5:5" x14ac:dyDescent="0.25">
      <c r="E101" s="49"/>
    </row>
    <row r="102" spans="5:5" x14ac:dyDescent="0.25">
      <c r="E102" s="49"/>
    </row>
    <row r="103" spans="5:5" x14ac:dyDescent="0.25">
      <c r="E103" s="49"/>
    </row>
    <row r="104" spans="5:5" x14ac:dyDescent="0.25">
      <c r="E104" s="1"/>
    </row>
    <row r="107" spans="5:5" s="49" customFormat="1" x14ac:dyDescent="0.25"/>
    <row r="108" spans="5:5" s="49" customFormat="1" x14ac:dyDescent="0.25"/>
    <row r="109" spans="5:5" s="49" customFormat="1" ht="45" customHeight="1" x14ac:dyDescent="0.25"/>
    <row r="110" spans="5:5" s="49" customFormat="1" x14ac:dyDescent="0.25"/>
    <row r="111" spans="5:5" s="49" customFormat="1" x14ac:dyDescent="0.25"/>
    <row r="112" spans="5:5" s="49" customFormat="1" x14ac:dyDescent="0.25"/>
    <row r="113" s="49" customFormat="1" x14ac:dyDescent="0.25"/>
    <row r="114" s="49" customFormat="1" x14ac:dyDescent="0.25"/>
    <row r="115" s="49" customFormat="1" x14ac:dyDescent="0.25"/>
    <row r="116" s="49" customFormat="1" x14ac:dyDescent="0.25"/>
    <row r="117" s="49" customFormat="1" x14ac:dyDescent="0.25"/>
    <row r="118" s="49" customFormat="1" x14ac:dyDescent="0.25"/>
    <row r="119" s="49" customFormat="1" x14ac:dyDescent="0.25"/>
    <row r="120" s="49" customFormat="1" x14ac:dyDescent="0.25"/>
    <row r="121" s="49" customFormat="1" ht="45" customHeight="1" x14ac:dyDescent="0.25"/>
    <row r="122" s="49" customFormat="1" x14ac:dyDescent="0.25"/>
    <row r="123" s="49" customFormat="1" x14ac:dyDescent="0.25"/>
    <row r="124" s="49" customFormat="1" x14ac:dyDescent="0.25"/>
    <row r="125" s="49" customFormat="1" x14ac:dyDescent="0.25"/>
    <row r="126" s="49" customFormat="1" x14ac:dyDescent="0.25"/>
    <row r="127" s="49" customFormat="1" x14ac:dyDescent="0.25"/>
    <row r="128" s="49" customFormat="1" x14ac:dyDescent="0.25"/>
    <row r="129" s="49" customFormat="1" x14ac:dyDescent="0.25"/>
    <row r="130" s="49" customFormat="1" x14ac:dyDescent="0.25"/>
    <row r="131" s="49" customFormat="1" x14ac:dyDescent="0.25"/>
    <row r="132" s="49" customFormat="1" x14ac:dyDescent="0.25"/>
    <row r="133" s="49" customFormat="1" ht="45" customHeight="1" x14ac:dyDescent="0.25"/>
    <row r="134" s="49" customFormat="1" x14ac:dyDescent="0.25"/>
    <row r="135" s="49" customFormat="1" x14ac:dyDescent="0.25"/>
    <row r="136" s="49" customFormat="1" x14ac:dyDescent="0.25"/>
    <row r="137" s="49" customFormat="1" x14ac:dyDescent="0.25"/>
    <row r="138" s="49" customFormat="1" x14ac:dyDescent="0.25"/>
    <row r="139" s="49" customFormat="1" x14ac:dyDescent="0.25"/>
    <row r="140" s="49" customFormat="1" x14ac:dyDescent="0.25"/>
    <row r="141" s="49" customFormat="1" x14ac:dyDescent="0.25"/>
    <row r="142" s="49" customFormat="1" x14ac:dyDescent="0.25"/>
    <row r="143" s="49" customFormat="1" x14ac:dyDescent="0.25"/>
  </sheetData>
  <sheetProtection password="EF0E" sheet="1" objects="1" scenarios="1" selectLockedCells="1"/>
  <customSheetViews>
    <customSheetView guid="{3D7EB65F-0FC5-47F2-9875-B5415B55E484}" fitToPage="1" topLeftCell="A22">
      <selection activeCell="C14" sqref="C14"/>
      <pageMargins left="0.51181102362204722" right="0.51181102362204722" top="0.74803149606299213" bottom="0.74803149606299213" header="0.31496062992125984" footer="0.31496062992125984"/>
      <pageSetup paperSize="9" scale="90" orientation="portrait" r:id="rId1"/>
    </customSheetView>
    <customSheetView guid="{92152A40-AC35-40DB-8CA0-26244A2F5883}">
      <selection activeCell="C14" sqref="C14"/>
    </customSheetView>
  </customSheetViews>
  <mergeCells count="7">
    <mergeCell ref="A38:D38"/>
    <mergeCell ref="A31:D31"/>
    <mergeCell ref="A1:D1"/>
    <mergeCell ref="B8:D8"/>
    <mergeCell ref="A20:D20"/>
    <mergeCell ref="A6:D6"/>
    <mergeCell ref="A22:D22"/>
  </mergeCells>
  <dataValidations count="3">
    <dataValidation type="list" allowBlank="1" showInputMessage="1" showErrorMessage="1" sqref="B12">
      <formula1>Garage_Roof</formula1>
    </dataValidation>
    <dataValidation type="whole" allowBlank="1" showInputMessage="1" showErrorMessage="1" sqref="B14">
      <formula1>0</formula1>
      <formula2>100000</formula2>
    </dataValidation>
    <dataValidation showDropDown="1" showInputMessage="1" showErrorMessage="1" sqref="B29:B30"/>
  </dataValidations>
  <pageMargins left="1.1023622047244095" right="0.9055118110236221" top="0.59055118110236227" bottom="0.55118110236220474" header="0.51181102362204722" footer="0.31496062992125984"/>
  <pageSetup paperSize="9" scale="105" orientation="portrait" r:id="rId2"/>
  <headerFooter>
    <oddFooter>&amp;L&amp;D  &amp;T&amp;RV06</oddFooter>
  </headerFooter>
  <rowBreaks count="2" manualBreakCount="2">
    <brk id="68" max="9" man="1"/>
    <brk id="106" max="9" man="1"/>
  </rowBreaks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Lists!$A$40:$A$45</xm:f>
          </x14:formula1>
          <xm:sqref>B13</xm:sqref>
        </x14:dataValidation>
        <x14:dataValidation type="list" allowBlank="1" showInputMessage="1" showErrorMessage="1">
          <x14:formula1>
            <xm:f>Lists!$A$3:$A$5</xm:f>
          </x14:formula1>
          <xm:sqref>B9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P89"/>
  <sheetViews>
    <sheetView topLeftCell="A4" zoomScaleNormal="100" workbookViewId="0">
      <selection activeCell="F46" sqref="F46"/>
    </sheetView>
  </sheetViews>
  <sheetFormatPr defaultRowHeight="15" x14ac:dyDescent="0.25"/>
  <cols>
    <col min="1" max="1" width="34" style="49" customWidth="1"/>
    <col min="2" max="3" width="9.140625" style="49"/>
    <col min="4" max="4" width="11.85546875" style="49" customWidth="1"/>
    <col min="5" max="5" width="9.140625" style="49"/>
    <col min="6" max="6" width="8.7109375" style="49" customWidth="1"/>
    <col min="7" max="8" width="9.140625" style="49"/>
    <col min="9" max="9" width="11.5703125" style="49" customWidth="1"/>
    <col min="10" max="16384" width="9.140625" style="49"/>
  </cols>
  <sheetData>
    <row r="1" spans="1:10" ht="18.75" x14ac:dyDescent="0.3">
      <c r="A1" s="3" t="s">
        <v>29</v>
      </c>
      <c r="B1" s="3"/>
      <c r="C1" s="3"/>
      <c r="D1" s="3"/>
      <c r="F1" s="159" t="s">
        <v>155</v>
      </c>
      <c r="G1" s="160"/>
      <c r="I1" s="159" t="s">
        <v>37</v>
      </c>
      <c r="J1" s="160"/>
    </row>
    <row r="2" spans="1:10" ht="19.5" thickBot="1" x14ac:dyDescent="0.35">
      <c r="A2" s="3"/>
      <c r="B2" s="3"/>
      <c r="C2" s="3"/>
      <c r="D2" s="3"/>
    </row>
    <row r="3" spans="1:10" ht="15.75" thickBot="1" x14ac:dyDescent="0.3">
      <c r="A3" s="50" t="s">
        <v>154</v>
      </c>
      <c r="B3" s="50"/>
      <c r="C3" s="19">
        <v>10</v>
      </c>
      <c r="D3" s="49" t="s">
        <v>30</v>
      </c>
    </row>
    <row r="4" spans="1:10" ht="18.75" x14ac:dyDescent="0.3">
      <c r="A4" s="3"/>
      <c r="B4" s="3"/>
      <c r="C4" s="3"/>
      <c r="D4" s="3"/>
    </row>
    <row r="5" spans="1:10" x14ac:dyDescent="0.25">
      <c r="A5" s="50" t="s">
        <v>24</v>
      </c>
      <c r="B5" s="50"/>
      <c r="C5" s="50"/>
      <c r="D5" s="50"/>
      <c r="F5" s="4">
        <f>VLOOKUP('1. Site Info &amp; Detention Req'!B9,Lists!A4:E5,2)</f>
        <v>0.5</v>
      </c>
      <c r="G5" s="5"/>
      <c r="I5" s="4">
        <f>VLOOKUP('1. Site Info &amp; Detention Req'!B9,Lists!A4:E5,3)</f>
        <v>0.6</v>
      </c>
      <c r="J5" s="5"/>
    </row>
    <row r="6" spans="1:10" ht="17.25" x14ac:dyDescent="0.25">
      <c r="A6" s="50" t="s">
        <v>27</v>
      </c>
      <c r="B6" s="50"/>
      <c r="C6" s="50"/>
      <c r="D6" s="50"/>
      <c r="F6" s="6">
        <f>'1. Site Info &amp; Detention Req'!B10*F5</f>
        <v>500</v>
      </c>
      <c r="G6" s="7" t="s">
        <v>23</v>
      </c>
      <c r="I6" s="15">
        <f>'1. Site Info &amp; Detention Req'!B10*I5</f>
        <v>600</v>
      </c>
      <c r="J6" s="7" t="s">
        <v>23</v>
      </c>
    </row>
    <row r="7" spans="1:10" x14ac:dyDescent="0.25">
      <c r="A7" s="50" t="s">
        <v>56</v>
      </c>
      <c r="B7" s="50"/>
      <c r="C7" s="50"/>
      <c r="D7" s="50"/>
      <c r="F7" s="6">
        <f>VLOOKUP(C3,A64:C70,3)</f>
        <v>46.2</v>
      </c>
      <c r="G7" s="7" t="s">
        <v>32</v>
      </c>
      <c r="I7" s="6">
        <f>VLOOKUP(C3,A77:C83,3)</f>
        <v>90.600000000000009</v>
      </c>
      <c r="J7" s="7" t="s">
        <v>32</v>
      </c>
    </row>
    <row r="8" spans="1:10" x14ac:dyDescent="0.25">
      <c r="A8" s="50" t="s">
        <v>57</v>
      </c>
      <c r="B8" s="50"/>
      <c r="C8" s="50"/>
      <c r="D8" s="50"/>
      <c r="F8" s="8">
        <f>F7*F$6/3600</f>
        <v>6.416666666666667</v>
      </c>
      <c r="G8" s="9" t="s">
        <v>31</v>
      </c>
      <c r="I8" s="8">
        <f>I7*I$6/3600</f>
        <v>15.100000000000001</v>
      </c>
      <c r="J8" s="9" t="s">
        <v>31</v>
      </c>
    </row>
    <row r="9" spans="1:10" x14ac:dyDescent="0.25">
      <c r="A9" s="50"/>
      <c r="B9" s="50"/>
      <c r="C9" s="50"/>
      <c r="D9" s="50"/>
      <c r="F9" s="22"/>
      <c r="G9" s="11"/>
      <c r="I9" s="22"/>
      <c r="J9" s="11"/>
    </row>
    <row r="10" spans="1:10" x14ac:dyDescent="0.25">
      <c r="A10" s="50"/>
      <c r="B10" s="50"/>
      <c r="C10" s="50"/>
      <c r="D10" s="50"/>
    </row>
    <row r="11" spans="1:10" ht="18.75" x14ac:dyDescent="0.3">
      <c r="A11" s="3" t="s">
        <v>19</v>
      </c>
      <c r="B11" s="3"/>
      <c r="C11" s="3"/>
      <c r="D11" s="3"/>
      <c r="E11" s="75" t="s">
        <v>117</v>
      </c>
      <c r="F11" s="76" t="s">
        <v>25</v>
      </c>
      <c r="G11" s="10" t="s">
        <v>26</v>
      </c>
      <c r="I11" s="12" t="s">
        <v>25</v>
      </c>
      <c r="J11" s="10" t="s">
        <v>26</v>
      </c>
    </row>
    <row r="12" spans="1:10" ht="18.75" x14ac:dyDescent="0.3">
      <c r="A12" s="73" t="s">
        <v>20</v>
      </c>
      <c r="B12" s="74"/>
      <c r="C12" s="74"/>
      <c r="D12" s="3"/>
      <c r="E12" s="6"/>
      <c r="F12" s="77"/>
      <c r="G12" s="71"/>
      <c r="I12" s="70"/>
      <c r="J12" s="71"/>
    </row>
    <row r="13" spans="1:10" x14ac:dyDescent="0.25">
      <c r="A13" s="50" t="s">
        <v>98</v>
      </c>
      <c r="B13" s="50"/>
      <c r="C13" s="50"/>
      <c r="D13" s="50"/>
      <c r="E13" s="80">
        <f>'1. Site Info &amp; Detention Req'!B11</f>
        <v>300</v>
      </c>
      <c r="F13" s="11">
        <v>0.9</v>
      </c>
      <c r="G13" s="7">
        <f>F13*E13*F$16</f>
        <v>270</v>
      </c>
      <c r="I13" s="6">
        <v>0.9</v>
      </c>
      <c r="J13" s="7">
        <f>I13*E13*I$16</f>
        <v>270</v>
      </c>
    </row>
    <row r="14" spans="1:10" x14ac:dyDescent="0.25">
      <c r="A14" s="50" t="s">
        <v>116</v>
      </c>
      <c r="B14" s="50"/>
      <c r="C14" s="50"/>
      <c r="D14" s="50"/>
      <c r="E14" s="80">
        <f>VLOOKUP('1. Site Info &amp; Detention Req'!B12,Lists!A70:B73,2)</f>
        <v>0</v>
      </c>
      <c r="F14" s="11">
        <v>0.9</v>
      </c>
      <c r="G14" s="7">
        <f>F14*E14*F$16</f>
        <v>0</v>
      </c>
      <c r="I14" s="6">
        <v>0.9</v>
      </c>
      <c r="J14" s="7">
        <f>I14*E14*I$16</f>
        <v>0</v>
      </c>
    </row>
    <row r="15" spans="1:10" ht="15.75" thickBot="1" x14ac:dyDescent="0.3">
      <c r="A15" s="50" t="s">
        <v>118</v>
      </c>
      <c r="B15" s="50"/>
      <c r="C15" s="50"/>
      <c r="D15" s="50"/>
      <c r="E15" s="104">
        <f>E14+E13</f>
        <v>300</v>
      </c>
      <c r="F15" s="11">
        <v>0.9</v>
      </c>
      <c r="G15" s="7">
        <f>F15*E15*F$16</f>
        <v>270</v>
      </c>
      <c r="I15" s="6">
        <v>0.9</v>
      </c>
      <c r="J15" s="7">
        <f>I15*E15*I16</f>
        <v>270</v>
      </c>
    </row>
    <row r="16" spans="1:10" ht="15.75" thickBot="1" x14ac:dyDescent="0.3">
      <c r="A16" s="50" t="s">
        <v>86</v>
      </c>
      <c r="B16" s="50"/>
      <c r="C16" s="50"/>
      <c r="D16" s="50"/>
      <c r="E16" s="6"/>
      <c r="F16" s="20">
        <v>1</v>
      </c>
      <c r="G16" s="72" t="s">
        <v>45</v>
      </c>
      <c r="I16" s="82">
        <v>1</v>
      </c>
      <c r="J16" s="69" t="s">
        <v>46</v>
      </c>
    </row>
    <row r="17" spans="1:10" x14ac:dyDescent="0.25">
      <c r="A17" s="50"/>
      <c r="B17" s="50"/>
      <c r="C17" s="50"/>
      <c r="D17" s="50"/>
      <c r="E17" s="6"/>
      <c r="F17" s="11"/>
      <c r="G17" s="72"/>
      <c r="I17" s="6"/>
      <c r="J17" s="72"/>
    </row>
    <row r="18" spans="1:10" x14ac:dyDescent="0.25">
      <c r="A18" s="50"/>
      <c r="B18" s="50"/>
      <c r="C18" s="50"/>
      <c r="D18" s="50"/>
      <c r="E18" s="6"/>
      <c r="F18" s="11"/>
      <c r="G18" s="72"/>
      <c r="I18" s="6"/>
      <c r="J18" s="72"/>
    </row>
    <row r="19" spans="1:10" ht="18.75" x14ac:dyDescent="0.3">
      <c r="A19" s="73" t="s">
        <v>21</v>
      </c>
      <c r="B19" s="74"/>
      <c r="C19" s="74"/>
      <c r="D19" s="50"/>
      <c r="E19" s="6"/>
      <c r="F19" s="11"/>
      <c r="G19" s="7"/>
      <c r="I19" s="6"/>
      <c r="J19" s="7"/>
    </row>
    <row r="20" spans="1:10" x14ac:dyDescent="0.25">
      <c r="A20" s="50" t="s">
        <v>92</v>
      </c>
      <c r="B20" s="50"/>
      <c r="C20" s="50"/>
      <c r="D20" s="50"/>
      <c r="E20" s="81">
        <f>VLOOKUP('1. Site Info &amp; Detention Req'!B13,Lists!A40:B45,2)</f>
        <v>50</v>
      </c>
      <c r="F20" s="11">
        <v>0.9</v>
      </c>
      <c r="G20" s="102">
        <f>F20*E20*F$23</f>
        <v>36</v>
      </c>
      <c r="I20" s="6">
        <v>0.9</v>
      </c>
      <c r="J20" s="7">
        <f>I20*E20*I$23</f>
        <v>45</v>
      </c>
    </row>
    <row r="21" spans="1:10" x14ac:dyDescent="0.25">
      <c r="A21" s="50" t="s">
        <v>119</v>
      </c>
      <c r="B21" s="50"/>
      <c r="C21" s="50"/>
      <c r="D21" s="50"/>
      <c r="E21" s="81">
        <f>'1. Site Info &amp; Detention Req'!B14</f>
        <v>50</v>
      </c>
      <c r="F21" s="11">
        <v>0.9</v>
      </c>
      <c r="G21" s="102">
        <f>F21*E21*F$23</f>
        <v>36</v>
      </c>
      <c r="I21" s="6">
        <v>0.9</v>
      </c>
      <c r="J21" s="7">
        <f>I21*E21*I$23</f>
        <v>45</v>
      </c>
    </row>
    <row r="22" spans="1:10" ht="15.75" thickBot="1" x14ac:dyDescent="0.3">
      <c r="A22" s="50" t="s">
        <v>91</v>
      </c>
      <c r="B22" s="50"/>
      <c r="C22" s="50"/>
      <c r="D22" s="50"/>
      <c r="E22" s="6">
        <f>SUM(E20:E21)</f>
        <v>100</v>
      </c>
      <c r="F22" s="11">
        <v>0.9</v>
      </c>
      <c r="G22" s="102">
        <f>F22*E22*F$23</f>
        <v>72</v>
      </c>
      <c r="I22" s="6">
        <v>0.9</v>
      </c>
      <c r="J22" s="7">
        <f>I22*E22*I23</f>
        <v>90</v>
      </c>
    </row>
    <row r="23" spans="1:10" ht="15.75" thickBot="1" x14ac:dyDescent="0.3">
      <c r="A23" s="50" t="s">
        <v>85</v>
      </c>
      <c r="B23" s="50"/>
      <c r="C23" s="50"/>
      <c r="D23" s="50"/>
      <c r="E23" s="6"/>
      <c r="F23" s="103">
        <f>VLOOKUP('1. Site Info &amp; Detention Req'!B9,Lists!A48:B49,2)</f>
        <v>0.8</v>
      </c>
      <c r="G23" s="72" t="s">
        <v>45</v>
      </c>
      <c r="I23" s="82">
        <v>1</v>
      </c>
      <c r="J23" s="69" t="s">
        <v>46</v>
      </c>
    </row>
    <row r="24" spans="1:10" x14ac:dyDescent="0.25">
      <c r="A24" s="50"/>
      <c r="B24" s="50"/>
      <c r="C24" s="50"/>
      <c r="D24" s="50"/>
      <c r="E24" s="6"/>
      <c r="F24" s="11"/>
      <c r="G24" s="72"/>
      <c r="I24" s="6"/>
      <c r="J24" s="72"/>
    </row>
    <row r="25" spans="1:10" ht="18.75" x14ac:dyDescent="0.3">
      <c r="A25" s="73" t="s">
        <v>22</v>
      </c>
      <c r="B25" s="74"/>
      <c r="C25" s="74"/>
      <c r="D25" s="50"/>
      <c r="E25" s="6"/>
    </row>
    <row r="26" spans="1:10" ht="15.75" thickBot="1" x14ac:dyDescent="0.3">
      <c r="A26" s="50" t="s">
        <v>120</v>
      </c>
      <c r="B26" s="50"/>
      <c r="C26" s="50"/>
      <c r="D26" s="50"/>
      <c r="E26" s="6">
        <f>'1. Site Info &amp; Detention Req'!B10-E15-E22</f>
        <v>600</v>
      </c>
      <c r="F26" s="11">
        <v>0.3</v>
      </c>
      <c r="G26" s="16">
        <f>F26*E26*F27</f>
        <v>90</v>
      </c>
      <c r="I26" s="6">
        <v>0.5</v>
      </c>
      <c r="J26" s="16">
        <f>I26*E26*I27</f>
        <v>225</v>
      </c>
    </row>
    <row r="27" spans="1:10" ht="15.75" thickBot="1" x14ac:dyDescent="0.3">
      <c r="A27" s="50" t="s">
        <v>44</v>
      </c>
      <c r="B27" s="50"/>
      <c r="C27" s="50"/>
      <c r="D27" s="50"/>
      <c r="E27" s="6"/>
      <c r="F27" s="20">
        <v>0.5</v>
      </c>
      <c r="G27" s="72" t="s">
        <v>45</v>
      </c>
      <c r="I27" s="82">
        <v>0.75</v>
      </c>
      <c r="J27" s="69" t="s">
        <v>46</v>
      </c>
    </row>
    <row r="28" spans="1:10" x14ac:dyDescent="0.25">
      <c r="A28" s="50" t="s">
        <v>28</v>
      </c>
      <c r="B28" s="50"/>
      <c r="C28" s="50"/>
      <c r="D28" s="50"/>
      <c r="E28" s="6"/>
      <c r="F28" s="11"/>
      <c r="G28" s="16">
        <f>G15+G22+G26</f>
        <v>432</v>
      </c>
      <c r="I28" s="6"/>
      <c r="J28" s="16">
        <f>J15+J22+J26</f>
        <v>585</v>
      </c>
    </row>
    <row r="29" spans="1:10" x14ac:dyDescent="0.25">
      <c r="A29" s="50" t="s">
        <v>43</v>
      </c>
      <c r="B29" s="50"/>
      <c r="C29" s="50"/>
      <c r="D29" s="50"/>
      <c r="E29" s="78"/>
      <c r="F29" s="79">
        <f>G28/'1. Site Info &amp; Detention Req'!B10</f>
        <v>0.432</v>
      </c>
      <c r="G29" s="60"/>
      <c r="I29" s="59">
        <f>J28/'1. Site Info &amp; Detention Req'!B10</f>
        <v>0.58499999999999996</v>
      </c>
      <c r="J29" s="60"/>
    </row>
    <row r="30" spans="1:10" x14ac:dyDescent="0.25">
      <c r="A30" s="50"/>
      <c r="B30" s="50"/>
      <c r="C30" s="50"/>
      <c r="D30" s="50"/>
      <c r="F30" s="21"/>
      <c r="G30" s="58"/>
      <c r="I30" s="21"/>
      <c r="J30" s="58"/>
    </row>
    <row r="31" spans="1:10" x14ac:dyDescent="0.25">
      <c r="A31" s="50"/>
      <c r="B31" s="50"/>
      <c r="C31" s="50"/>
      <c r="D31" s="50"/>
      <c r="F31" s="21"/>
      <c r="G31" s="58"/>
      <c r="I31" s="21"/>
      <c r="J31" s="58"/>
    </row>
    <row r="32" spans="1:10" x14ac:dyDescent="0.25">
      <c r="A32" s="50" t="s">
        <v>72</v>
      </c>
      <c r="B32" s="50"/>
      <c r="C32" s="50"/>
      <c r="D32" s="50"/>
      <c r="F32" s="53">
        <f>G15*F$7/3600</f>
        <v>3.4649999999999999</v>
      </c>
      <c r="G32" s="5" t="s">
        <v>31</v>
      </c>
      <c r="I32" s="53">
        <f>J15*I$7/3600</f>
        <v>6.7950000000000008</v>
      </c>
      <c r="J32" s="5" t="s">
        <v>31</v>
      </c>
    </row>
    <row r="33" spans="1:12" x14ac:dyDescent="0.25">
      <c r="A33" s="50" t="s">
        <v>75</v>
      </c>
      <c r="B33" s="50"/>
      <c r="C33" s="50"/>
      <c r="D33" s="50"/>
      <c r="F33" s="23">
        <f>G22*F$7/3600</f>
        <v>0.92400000000000004</v>
      </c>
      <c r="G33" s="7" t="s">
        <v>31</v>
      </c>
      <c r="I33" s="23">
        <f>J22*I$7/3600</f>
        <v>2.2650000000000001</v>
      </c>
      <c r="J33" s="7" t="s">
        <v>31</v>
      </c>
    </row>
    <row r="34" spans="1:12" x14ac:dyDescent="0.25">
      <c r="A34" s="50" t="s">
        <v>76</v>
      </c>
      <c r="B34" s="50"/>
      <c r="C34" s="50"/>
      <c r="D34" s="50"/>
      <c r="F34" s="23">
        <f>G26*F$7/3600</f>
        <v>1.155</v>
      </c>
      <c r="G34" s="7" t="s">
        <v>31</v>
      </c>
      <c r="I34" s="23">
        <f>J26*I$7/3600</f>
        <v>5.6625000000000014</v>
      </c>
      <c r="J34" s="7" t="s">
        <v>31</v>
      </c>
    </row>
    <row r="35" spans="1:12" x14ac:dyDescent="0.25">
      <c r="A35" s="50" t="s">
        <v>77</v>
      </c>
      <c r="B35" s="50"/>
      <c r="C35" s="50"/>
      <c r="D35" s="50"/>
      <c r="F35" s="8">
        <f>G28*F$7/3600</f>
        <v>5.5440000000000005</v>
      </c>
      <c r="G35" s="9" t="s">
        <v>31</v>
      </c>
      <c r="H35" s="11"/>
      <c r="I35" s="8">
        <f>J28*I$7/3600</f>
        <v>14.722500000000002</v>
      </c>
      <c r="J35" s="9" t="s">
        <v>31</v>
      </c>
    </row>
    <row r="36" spans="1:12" x14ac:dyDescent="0.25">
      <c r="A36" s="50"/>
      <c r="B36" s="50"/>
      <c r="C36" s="50"/>
      <c r="D36" s="50"/>
      <c r="F36" s="22"/>
      <c r="G36" s="11"/>
      <c r="H36" s="11"/>
      <c r="I36" s="22"/>
      <c r="J36" s="11"/>
    </row>
    <row r="37" spans="1:12" ht="18.75" x14ac:dyDescent="0.3">
      <c r="A37" s="3" t="s">
        <v>160</v>
      </c>
      <c r="B37" s="50"/>
      <c r="C37" s="50"/>
      <c r="D37" s="50"/>
      <c r="F37" s="22"/>
      <c r="G37" s="11"/>
      <c r="H37" s="11"/>
      <c r="I37" s="22"/>
      <c r="J37" s="11"/>
    </row>
    <row r="38" spans="1:12" x14ac:dyDescent="0.25">
      <c r="A38" s="50" t="s">
        <v>166</v>
      </c>
      <c r="B38" s="50"/>
      <c r="C38" s="50"/>
      <c r="D38" s="50"/>
      <c r="F38" s="96">
        <f>F32/F35</f>
        <v>0.62499999999999989</v>
      </c>
      <c r="G38" s="11"/>
      <c r="H38" s="11"/>
      <c r="I38" s="96">
        <f>I32/I35</f>
        <v>0.46153846153846151</v>
      </c>
      <c r="J38" s="11"/>
      <c r="K38" s="11"/>
    </row>
    <row r="39" spans="1:12" x14ac:dyDescent="0.25">
      <c r="A39" s="50" t="s">
        <v>159</v>
      </c>
      <c r="B39" s="50"/>
      <c r="C39" s="50"/>
      <c r="D39" s="50"/>
      <c r="F39" s="97">
        <f>IF(G39&lt;0,0,G39)</f>
        <v>0</v>
      </c>
      <c r="G39" s="101">
        <f>(F35-F8)/F35</f>
        <v>-0.15740740740740736</v>
      </c>
      <c r="H39" s="11"/>
      <c r="I39" s="97">
        <f>IF(J39&lt;0,0,J39)</f>
        <v>0</v>
      </c>
      <c r="J39" s="101">
        <f>(I35-I8)/I35</f>
        <v>-2.5641025641025605E-2</v>
      </c>
      <c r="K39" s="11"/>
      <c r="L39" s="11" t="s">
        <v>167</v>
      </c>
    </row>
    <row r="40" spans="1:12" x14ac:dyDescent="0.25">
      <c r="A40" s="50" t="s">
        <v>164</v>
      </c>
      <c r="B40" s="50"/>
      <c r="C40" s="50"/>
      <c r="D40" s="50"/>
      <c r="F40" s="97">
        <f>IF(G40&lt;0,0,G40)</f>
        <v>0</v>
      </c>
      <c r="G40" s="99">
        <f>IF((G39/F38)&gt;0.5,E13,1.7*E13*G39/F38)</f>
        <v>-128.44444444444443</v>
      </c>
      <c r="H40" s="98" t="s">
        <v>53</v>
      </c>
      <c r="I40" s="97">
        <f>IF(J40&lt;0,0,J40)</f>
        <v>0</v>
      </c>
      <c r="J40" s="99">
        <f>IF((J39/I38)&gt;0.5,E13,1.7*E13*J39/I38)</f>
        <v>-28.333333333333297</v>
      </c>
      <c r="K40" s="98" t="s">
        <v>53</v>
      </c>
      <c r="L40" s="11" t="s">
        <v>168</v>
      </c>
    </row>
    <row r="41" spans="1:12" x14ac:dyDescent="0.25">
      <c r="A41" s="50" t="s">
        <v>165</v>
      </c>
      <c r="B41" s="50"/>
      <c r="C41" s="50"/>
      <c r="D41" s="50"/>
      <c r="F41" s="97">
        <f t="shared" ref="F41:F42" si="0">IF(G41&lt;0,0,G41)</f>
        <v>0</v>
      </c>
      <c r="G41" s="99">
        <f>IF(F35-F8&lt;0.5,2.5*(F35-F8)/0.014,0)</f>
        <v>-155.83333333333329</v>
      </c>
      <c r="H41" s="100" t="s">
        <v>53</v>
      </c>
      <c r="I41" s="97">
        <f t="shared" ref="I41:I42" si="1">IF(J41&lt;0,0,J41)</f>
        <v>0</v>
      </c>
      <c r="J41" s="99">
        <f>IF(I35-I8&lt;0.5,2.5*(I35-I8)/0.014,0)</f>
        <v>-67.410714285714192</v>
      </c>
      <c r="K41" s="100" t="s">
        <v>53</v>
      </c>
    </row>
    <row r="42" spans="1:12" x14ac:dyDescent="0.25">
      <c r="A42" s="50" t="s">
        <v>160</v>
      </c>
      <c r="B42" s="50"/>
      <c r="C42" s="50"/>
      <c r="D42" s="50"/>
      <c r="E42" s="42">
        <f>MAX(F42,I42)</f>
        <v>0</v>
      </c>
      <c r="F42" s="49">
        <f t="shared" si="0"/>
        <v>0</v>
      </c>
      <c r="G42" s="99">
        <f>IF(ROUND(MAX(G40:G41),-1)&gt;E13,E13,ROUND(MAX(G40:G41),-1))</f>
        <v>-130</v>
      </c>
      <c r="H42" s="98" t="s">
        <v>53</v>
      </c>
      <c r="I42" s="49">
        <f t="shared" si="1"/>
        <v>0</v>
      </c>
      <c r="J42" s="99">
        <f>IF(ROUND(MAX(J40:J41),-1)&gt;E13,E13,ROUND(MAX(J40:J41),-1))</f>
        <v>-30</v>
      </c>
      <c r="K42" s="98" t="s">
        <v>53</v>
      </c>
    </row>
    <row r="43" spans="1:12" x14ac:dyDescent="0.25">
      <c r="A43" s="50"/>
      <c r="B43" s="50"/>
      <c r="C43" s="50"/>
      <c r="D43" s="50"/>
      <c r="F43" s="22"/>
      <c r="G43" s="11"/>
      <c r="H43" s="11"/>
      <c r="I43" s="22"/>
      <c r="J43" s="11"/>
    </row>
    <row r="44" spans="1:12" ht="18.75" x14ac:dyDescent="0.3">
      <c r="A44" s="3" t="s">
        <v>124</v>
      </c>
      <c r="I44" s="51"/>
    </row>
    <row r="45" spans="1:12" x14ac:dyDescent="0.25">
      <c r="A45" s="49" t="s">
        <v>20</v>
      </c>
      <c r="F45" s="83">
        <f>MAX(E42,'1. Site Info &amp; Detention Req'!B29)/E15</f>
        <v>0</v>
      </c>
      <c r="G45" s="5"/>
      <c r="I45" s="83">
        <f>F45</f>
        <v>0</v>
      </c>
      <c r="J45" s="5"/>
    </row>
    <row r="46" spans="1:12" x14ac:dyDescent="0.25">
      <c r="A46" s="49" t="s">
        <v>100</v>
      </c>
      <c r="F46" s="84">
        <v>0</v>
      </c>
      <c r="G46" s="7"/>
      <c r="I46" s="84">
        <f>F46</f>
        <v>0</v>
      </c>
      <c r="J46" s="7"/>
    </row>
    <row r="47" spans="1:12" x14ac:dyDescent="0.25">
      <c r="A47" s="49" t="s">
        <v>92</v>
      </c>
      <c r="F47" s="84">
        <v>0</v>
      </c>
      <c r="G47" s="7"/>
      <c r="I47" s="84">
        <v>0</v>
      </c>
      <c r="J47" s="7"/>
    </row>
    <row r="48" spans="1:12" x14ac:dyDescent="0.25">
      <c r="A48" s="49" t="s">
        <v>122</v>
      </c>
      <c r="F48" s="84">
        <v>0</v>
      </c>
      <c r="G48" s="7"/>
      <c r="I48" s="84">
        <v>0</v>
      </c>
      <c r="J48" s="7"/>
    </row>
    <row r="49" spans="1:10" x14ac:dyDescent="0.25">
      <c r="A49" s="49" t="s">
        <v>123</v>
      </c>
      <c r="F49" s="85">
        <v>0</v>
      </c>
      <c r="G49" s="9"/>
      <c r="I49" s="85">
        <v>0</v>
      </c>
      <c r="J49" s="9"/>
    </row>
    <row r="50" spans="1:10" x14ac:dyDescent="0.25">
      <c r="A50" s="50"/>
      <c r="B50" s="50"/>
      <c r="C50" s="50"/>
      <c r="D50" s="50"/>
      <c r="F50" s="22"/>
      <c r="G50" s="11"/>
      <c r="H50" s="11"/>
      <c r="I50" s="22"/>
      <c r="J50" s="11"/>
    </row>
    <row r="52" spans="1:10" ht="18.75" x14ac:dyDescent="0.3">
      <c r="A52" s="3" t="s">
        <v>71</v>
      </c>
      <c r="B52" s="3"/>
      <c r="C52" s="3"/>
      <c r="D52" s="3"/>
    </row>
    <row r="53" spans="1:10" x14ac:dyDescent="0.25">
      <c r="A53" s="50" t="s">
        <v>74</v>
      </c>
      <c r="B53" s="50"/>
      <c r="C53" s="50"/>
      <c r="D53" s="50"/>
      <c r="F53" s="53">
        <f>F54*F7/3600</f>
        <v>0</v>
      </c>
      <c r="G53" s="54" t="s">
        <v>31</v>
      </c>
      <c r="I53" s="53">
        <f>I54*I7/3600</f>
        <v>0</v>
      </c>
      <c r="J53" s="54" t="s">
        <v>31</v>
      </c>
    </row>
    <row r="54" spans="1:10" x14ac:dyDescent="0.25">
      <c r="A54" s="50" t="s">
        <v>78</v>
      </c>
      <c r="B54" s="50"/>
      <c r="C54" s="50"/>
      <c r="D54" s="50"/>
      <c r="F54" s="23">
        <f>G13*F45+G14*F46+G20*F47+G21*F48+G26*F49</f>
        <v>0</v>
      </c>
      <c r="G54" s="55" t="s">
        <v>53</v>
      </c>
      <c r="I54" s="23">
        <f>J13*I45+J14*I46+J20*I47+J21*I48+J26*I49</f>
        <v>0</v>
      </c>
      <c r="J54" s="55"/>
    </row>
    <row r="55" spans="1:10" x14ac:dyDescent="0.25">
      <c r="A55" s="50" t="s">
        <v>70</v>
      </c>
      <c r="B55" s="50"/>
      <c r="C55" s="50"/>
      <c r="D55" s="50"/>
      <c r="F55" s="23">
        <f>F35-F53</f>
        <v>5.5440000000000005</v>
      </c>
      <c r="G55" s="55" t="s">
        <v>31</v>
      </c>
      <c r="I55" s="56">
        <f>I35-I53</f>
        <v>14.722500000000002</v>
      </c>
      <c r="J55" s="57" t="s">
        <v>31</v>
      </c>
    </row>
    <row r="56" spans="1:10" x14ac:dyDescent="0.25">
      <c r="A56" s="50" t="s">
        <v>73</v>
      </c>
      <c r="B56" s="50"/>
      <c r="C56" s="50"/>
      <c r="D56" s="50"/>
      <c r="F56" s="8">
        <f>IF(F8-F55&lt;0,0,F8-F55)</f>
        <v>0.87266666666666648</v>
      </c>
      <c r="G56" s="9" t="s">
        <v>31</v>
      </c>
      <c r="I56" s="8">
        <f>I8-I55</f>
        <v>0.3774999999999995</v>
      </c>
      <c r="J56" s="9" t="s">
        <v>31</v>
      </c>
    </row>
    <row r="57" spans="1:10" ht="15.75" thickBot="1" x14ac:dyDescent="0.3">
      <c r="A57" s="50"/>
      <c r="B57" s="50"/>
      <c r="C57" s="50"/>
      <c r="D57" s="50"/>
      <c r="F57" s="51"/>
      <c r="I57" s="51">
        <f>IF(F56&gt;I56,0,I56-F56)</f>
        <v>0</v>
      </c>
    </row>
    <row r="58" spans="1:10" ht="15.75" thickBot="1" x14ac:dyDescent="0.3">
      <c r="A58" s="50" t="s">
        <v>185</v>
      </c>
      <c r="B58" s="105" t="str">
        <f>IF(J72+J88&lt;500,"Nil",J72+J88)</f>
        <v>Nil</v>
      </c>
      <c r="C58" s="50" t="s">
        <v>41</v>
      </c>
      <c r="D58" s="50"/>
    </row>
    <row r="60" spans="1:10" ht="18.75" x14ac:dyDescent="0.3">
      <c r="A60" s="3" t="s">
        <v>153</v>
      </c>
      <c r="B60" s="3"/>
      <c r="C60" s="3"/>
      <c r="D60" s="3"/>
    </row>
    <row r="61" spans="1:10" x14ac:dyDescent="0.25">
      <c r="A61" s="162" t="s">
        <v>15</v>
      </c>
      <c r="B61" s="162"/>
      <c r="C61" s="162"/>
      <c r="D61" s="162"/>
      <c r="E61" s="162"/>
      <c r="F61" s="162"/>
      <c r="G61" s="162"/>
      <c r="H61" s="162"/>
      <c r="I61" s="162"/>
      <c r="J61" s="162"/>
    </row>
    <row r="62" spans="1:10" ht="45" x14ac:dyDescent="0.25">
      <c r="A62" s="28" t="s">
        <v>55</v>
      </c>
      <c r="B62" s="86" t="s">
        <v>1</v>
      </c>
      <c r="C62" s="28" t="s">
        <v>16</v>
      </c>
      <c r="D62" s="86" t="s">
        <v>83</v>
      </c>
      <c r="E62" s="161" t="s">
        <v>80</v>
      </c>
      <c r="F62" s="161"/>
      <c r="G62" s="161" t="s">
        <v>79</v>
      </c>
      <c r="H62" s="161"/>
      <c r="I62" s="87" t="s">
        <v>148</v>
      </c>
      <c r="J62" s="86" t="s">
        <v>68</v>
      </c>
    </row>
    <row r="63" spans="1:10" x14ac:dyDescent="0.25">
      <c r="A63" s="28" t="s">
        <v>0</v>
      </c>
      <c r="B63" s="28" t="s">
        <v>2</v>
      </c>
      <c r="C63" s="28" t="s">
        <v>17</v>
      </c>
      <c r="D63" s="28"/>
      <c r="E63" s="28" t="s">
        <v>18</v>
      </c>
      <c r="F63" s="28" t="s">
        <v>69</v>
      </c>
      <c r="G63" s="28" t="s">
        <v>18</v>
      </c>
      <c r="H63" s="28" t="s">
        <v>69</v>
      </c>
      <c r="I63" s="28" t="s">
        <v>18</v>
      </c>
      <c r="J63" s="28" t="s">
        <v>18</v>
      </c>
    </row>
    <row r="64" spans="1:10" x14ac:dyDescent="0.25">
      <c r="A64" s="27">
        <v>10</v>
      </c>
      <c r="B64" s="27">
        <f>Rainfall!C6</f>
        <v>7.7</v>
      </c>
      <c r="C64" s="61">
        <f t="shared" ref="C64:C70" si="2">B64/(A64/60)</f>
        <v>46.2</v>
      </c>
      <c r="D64" s="62">
        <v>1</v>
      </c>
      <c r="E64" s="61">
        <f t="shared" ref="E64:E70" si="3">B64*(G$28-F$54)</f>
        <v>3326.4</v>
      </c>
      <c r="F64" s="62">
        <f t="shared" ref="F64:F70" si="4">C64*(G$28-F$54)/3600</f>
        <v>5.5440000000000005</v>
      </c>
      <c r="G64" s="61">
        <f t="shared" ref="G64:G70" si="5">B64*F$54</f>
        <v>0</v>
      </c>
      <c r="H64" s="62">
        <f t="shared" ref="H64:H70" si="6">F$54*C64/3600</f>
        <v>0</v>
      </c>
      <c r="I64" s="61">
        <f>IF(F$56&lt;F$53,0.65*F$56*A64*60,G64)</f>
        <v>0</v>
      </c>
      <c r="J64" s="61">
        <f t="shared" ref="J64:J70" si="7">(G64-I64)*D64</f>
        <v>0</v>
      </c>
    </row>
    <row r="65" spans="1:16" x14ac:dyDescent="0.25">
      <c r="A65" s="27">
        <v>20</v>
      </c>
      <c r="B65" s="27">
        <f>Rainfall!D6</f>
        <v>11.4</v>
      </c>
      <c r="C65" s="61">
        <f t="shared" si="2"/>
        <v>34.200000000000003</v>
      </c>
      <c r="D65" s="62">
        <v>1</v>
      </c>
      <c r="E65" s="61">
        <f t="shared" si="3"/>
        <v>4924.8</v>
      </c>
      <c r="F65" s="62">
        <f t="shared" si="4"/>
        <v>4.1040000000000001</v>
      </c>
      <c r="G65" s="61">
        <f t="shared" si="5"/>
        <v>0</v>
      </c>
      <c r="H65" s="62">
        <f t="shared" si="6"/>
        <v>0</v>
      </c>
      <c r="I65" s="61">
        <f t="shared" ref="I65:I70" si="8">IF(F$56&lt;F$53,0.65*F$56*A65*60,G65)</f>
        <v>0</v>
      </c>
      <c r="J65" s="61">
        <f t="shared" si="7"/>
        <v>0</v>
      </c>
    </row>
    <row r="66" spans="1:16" x14ac:dyDescent="0.25">
      <c r="A66" s="27">
        <v>30</v>
      </c>
      <c r="B66" s="27">
        <f>Rainfall!E6</f>
        <v>14.4</v>
      </c>
      <c r="C66" s="61">
        <f t="shared" si="2"/>
        <v>28.8</v>
      </c>
      <c r="D66" s="62">
        <v>1</v>
      </c>
      <c r="E66" s="61">
        <f t="shared" si="3"/>
        <v>6220.8</v>
      </c>
      <c r="F66" s="62">
        <f t="shared" si="4"/>
        <v>3.456</v>
      </c>
      <c r="G66" s="61">
        <f t="shared" si="5"/>
        <v>0</v>
      </c>
      <c r="H66" s="62">
        <f t="shared" si="6"/>
        <v>0</v>
      </c>
      <c r="I66" s="61">
        <f t="shared" si="8"/>
        <v>0</v>
      </c>
      <c r="J66" s="61">
        <f t="shared" si="7"/>
        <v>0</v>
      </c>
      <c r="L66" s="27"/>
      <c r="M66" s="27"/>
      <c r="N66" s="27"/>
      <c r="O66" s="27"/>
      <c r="P66" s="27"/>
    </row>
    <row r="67" spans="1:16" x14ac:dyDescent="0.25">
      <c r="A67" s="27">
        <v>60</v>
      </c>
      <c r="B67" s="27">
        <f>Rainfall!F6</f>
        <v>21.3</v>
      </c>
      <c r="C67" s="61">
        <f t="shared" si="2"/>
        <v>21.3</v>
      </c>
      <c r="D67" s="62">
        <v>1</v>
      </c>
      <c r="E67" s="61">
        <f t="shared" si="3"/>
        <v>9201.6</v>
      </c>
      <c r="F67" s="62">
        <f t="shared" si="4"/>
        <v>2.556</v>
      </c>
      <c r="G67" s="61">
        <f t="shared" si="5"/>
        <v>0</v>
      </c>
      <c r="H67" s="62">
        <f t="shared" si="6"/>
        <v>0</v>
      </c>
      <c r="I67" s="61">
        <f t="shared" si="8"/>
        <v>0</v>
      </c>
      <c r="J67" s="61">
        <f t="shared" si="7"/>
        <v>0</v>
      </c>
    </row>
    <row r="68" spans="1:16" x14ac:dyDescent="0.25">
      <c r="A68" s="27">
        <v>120</v>
      </c>
      <c r="B68" s="27">
        <f>Rainfall!G6</f>
        <v>29.7</v>
      </c>
      <c r="C68" s="61">
        <f t="shared" si="2"/>
        <v>14.85</v>
      </c>
      <c r="D68" s="62">
        <v>1</v>
      </c>
      <c r="E68" s="61">
        <f t="shared" si="3"/>
        <v>12830.4</v>
      </c>
      <c r="F68" s="62">
        <f t="shared" si="4"/>
        <v>1.782</v>
      </c>
      <c r="G68" s="61">
        <f t="shared" si="5"/>
        <v>0</v>
      </c>
      <c r="H68" s="62">
        <f t="shared" si="6"/>
        <v>0</v>
      </c>
      <c r="I68" s="61">
        <f t="shared" si="8"/>
        <v>0</v>
      </c>
      <c r="J68" s="61">
        <f t="shared" si="7"/>
        <v>0</v>
      </c>
    </row>
    <row r="69" spans="1:16" x14ac:dyDescent="0.25">
      <c r="A69" s="27">
        <v>360</v>
      </c>
      <c r="B69" s="27">
        <f>Rainfall!H6</f>
        <v>50.3</v>
      </c>
      <c r="C69" s="61">
        <f t="shared" si="2"/>
        <v>8.3833333333333329</v>
      </c>
      <c r="D69" s="62">
        <v>1</v>
      </c>
      <c r="E69" s="61">
        <f t="shared" si="3"/>
        <v>21729.599999999999</v>
      </c>
      <c r="F69" s="62">
        <f t="shared" si="4"/>
        <v>1.006</v>
      </c>
      <c r="G69" s="61">
        <f t="shared" si="5"/>
        <v>0</v>
      </c>
      <c r="H69" s="62">
        <f t="shared" si="6"/>
        <v>0</v>
      </c>
      <c r="I69" s="61">
        <f t="shared" si="8"/>
        <v>0</v>
      </c>
      <c r="J69" s="61">
        <f t="shared" si="7"/>
        <v>0</v>
      </c>
    </row>
    <row r="70" spans="1:16" x14ac:dyDescent="0.25">
      <c r="A70" s="27">
        <v>720</v>
      </c>
      <c r="B70" s="27">
        <f>Rainfall!I6</f>
        <v>70.099999999999994</v>
      </c>
      <c r="C70" s="61">
        <f t="shared" si="2"/>
        <v>5.8416666666666659</v>
      </c>
      <c r="D70" s="62">
        <v>1</v>
      </c>
      <c r="E70" s="61">
        <f t="shared" si="3"/>
        <v>30283.199999999997</v>
      </c>
      <c r="F70" s="62">
        <f t="shared" si="4"/>
        <v>0.70099999999999985</v>
      </c>
      <c r="G70" s="61">
        <f t="shared" si="5"/>
        <v>0</v>
      </c>
      <c r="H70" s="62">
        <f t="shared" si="6"/>
        <v>0</v>
      </c>
      <c r="I70" s="61">
        <f t="shared" si="8"/>
        <v>0</v>
      </c>
      <c r="J70" s="61">
        <f t="shared" si="7"/>
        <v>0</v>
      </c>
    </row>
    <row r="71" spans="1:16" x14ac:dyDescent="0.25">
      <c r="A71" s="27"/>
      <c r="B71" s="27"/>
      <c r="C71" s="27"/>
      <c r="D71" s="27"/>
      <c r="E71" s="27"/>
      <c r="F71" s="27"/>
      <c r="G71" s="27"/>
      <c r="H71" s="27"/>
      <c r="I71" s="52" t="s">
        <v>39</v>
      </c>
      <c r="J71" s="61">
        <f>ROUND(MAX(J64:J70),-2)</f>
        <v>0</v>
      </c>
    </row>
    <row r="72" spans="1:16" x14ac:dyDescent="0.25">
      <c r="I72" s="17" t="s">
        <v>146</v>
      </c>
      <c r="J72" s="61">
        <f>VLOOKUP(J71,Lists!A87:B124,2)</f>
        <v>0</v>
      </c>
    </row>
    <row r="74" spans="1:16" x14ac:dyDescent="0.25">
      <c r="A74" s="162" t="s">
        <v>38</v>
      </c>
      <c r="B74" s="162"/>
      <c r="C74" s="162"/>
      <c r="D74" s="162"/>
      <c r="E74" s="162"/>
      <c r="F74" s="162"/>
      <c r="G74" s="162"/>
      <c r="H74" s="162"/>
      <c r="I74" s="162"/>
      <c r="J74" s="162"/>
    </row>
    <row r="75" spans="1:16" ht="45" x14ac:dyDescent="0.25">
      <c r="A75" s="28" t="s">
        <v>55</v>
      </c>
      <c r="B75" s="86" t="s">
        <v>1</v>
      </c>
      <c r="C75" s="28" t="s">
        <v>16</v>
      </c>
      <c r="D75" s="86" t="s">
        <v>83</v>
      </c>
      <c r="E75" s="161" t="s">
        <v>80</v>
      </c>
      <c r="F75" s="161"/>
      <c r="G75" s="161" t="s">
        <v>79</v>
      </c>
      <c r="H75" s="161"/>
      <c r="I75" s="86" t="s">
        <v>81</v>
      </c>
      <c r="J75" s="86" t="s">
        <v>68</v>
      </c>
    </row>
    <row r="76" spans="1:16" x14ac:dyDescent="0.25">
      <c r="A76" s="28" t="s">
        <v>0</v>
      </c>
      <c r="B76" s="28" t="s">
        <v>2</v>
      </c>
      <c r="C76" s="28" t="s">
        <v>17</v>
      </c>
      <c r="D76" s="28"/>
      <c r="E76" s="28" t="s">
        <v>18</v>
      </c>
      <c r="F76" s="28" t="s">
        <v>69</v>
      </c>
      <c r="G76" s="28" t="s">
        <v>18</v>
      </c>
      <c r="H76" s="28" t="s">
        <v>69</v>
      </c>
      <c r="I76" s="28" t="s">
        <v>18</v>
      </c>
      <c r="J76" s="28" t="s">
        <v>18</v>
      </c>
    </row>
    <row r="77" spans="1:16" x14ac:dyDescent="0.25">
      <c r="A77" s="27">
        <v>10</v>
      </c>
      <c r="B77" s="27">
        <f>Rainfall!C8</f>
        <v>15.1</v>
      </c>
      <c r="C77" s="61">
        <f t="shared" ref="C77:C83" si="9">B77/(A77/60)</f>
        <v>90.600000000000009</v>
      </c>
      <c r="D77" s="62">
        <v>1</v>
      </c>
      <c r="E77" s="61">
        <f t="shared" ref="E77:E83" si="10">B77*(J$28-I$54)</f>
        <v>8833.5</v>
      </c>
      <c r="F77" s="62">
        <f t="shared" ref="F77:F83" si="11">C77*(J$28-I$54)/3600</f>
        <v>14.722500000000002</v>
      </c>
      <c r="G77" s="61">
        <f>B77*I$54</f>
        <v>0</v>
      </c>
      <c r="H77" s="62">
        <f t="shared" ref="H77:H83" si="12">I$54*C77/3600</f>
        <v>0</v>
      </c>
      <c r="I77" s="61">
        <f>IF(I$56&lt;I$53,1.2*F$56*A77*60,G77)</f>
        <v>0</v>
      </c>
      <c r="J77" s="61">
        <f t="shared" ref="J77:J83" si="13">(G77-I77)*D77</f>
        <v>0</v>
      </c>
    </row>
    <row r="78" spans="1:16" x14ac:dyDescent="0.25">
      <c r="A78" s="27">
        <v>20</v>
      </c>
      <c r="B78" s="27">
        <f>Rainfall!D8</f>
        <v>22.4</v>
      </c>
      <c r="C78" s="61">
        <f t="shared" si="9"/>
        <v>67.2</v>
      </c>
      <c r="D78" s="62">
        <v>1</v>
      </c>
      <c r="E78" s="61">
        <f t="shared" si="10"/>
        <v>13104</v>
      </c>
      <c r="F78" s="62">
        <f t="shared" si="11"/>
        <v>10.92</v>
      </c>
      <c r="G78" s="61">
        <f t="shared" ref="G78:G83" si="14">B78*I$54</f>
        <v>0</v>
      </c>
      <c r="H78" s="62">
        <f t="shared" si="12"/>
        <v>0</v>
      </c>
      <c r="I78" s="61">
        <f t="shared" ref="I78:I83" si="15">IF(I$56&lt;I$53,1.2*F$56*A78*60,G78)</f>
        <v>0</v>
      </c>
      <c r="J78" s="61">
        <f t="shared" si="13"/>
        <v>0</v>
      </c>
    </row>
    <row r="79" spans="1:16" x14ac:dyDescent="0.25">
      <c r="A79" s="27">
        <v>30</v>
      </c>
      <c r="B79" s="27">
        <f>Rainfall!E8</f>
        <v>28.2</v>
      </c>
      <c r="C79" s="61">
        <f t="shared" si="9"/>
        <v>56.4</v>
      </c>
      <c r="D79" s="62">
        <v>1</v>
      </c>
      <c r="E79" s="61">
        <f t="shared" si="10"/>
        <v>16497</v>
      </c>
      <c r="F79" s="62">
        <f t="shared" si="11"/>
        <v>9.1649999999999991</v>
      </c>
      <c r="G79" s="61">
        <f t="shared" si="14"/>
        <v>0</v>
      </c>
      <c r="H79" s="62">
        <f t="shared" si="12"/>
        <v>0</v>
      </c>
      <c r="I79" s="61">
        <f t="shared" si="15"/>
        <v>0</v>
      </c>
      <c r="J79" s="61">
        <f t="shared" si="13"/>
        <v>0</v>
      </c>
    </row>
    <row r="80" spans="1:16" x14ac:dyDescent="0.25">
      <c r="A80" s="27">
        <v>60</v>
      </c>
      <c r="B80" s="27">
        <f>Rainfall!F8</f>
        <v>41.8</v>
      </c>
      <c r="C80" s="61">
        <f t="shared" si="9"/>
        <v>41.8</v>
      </c>
      <c r="D80" s="62">
        <v>1</v>
      </c>
      <c r="E80" s="61">
        <f t="shared" si="10"/>
        <v>24453</v>
      </c>
      <c r="F80" s="62">
        <f t="shared" si="11"/>
        <v>6.7925000000000004</v>
      </c>
      <c r="G80" s="61">
        <f t="shared" si="14"/>
        <v>0</v>
      </c>
      <c r="H80" s="62">
        <f t="shared" si="12"/>
        <v>0</v>
      </c>
      <c r="I80" s="61">
        <f t="shared" si="15"/>
        <v>0</v>
      </c>
      <c r="J80" s="61">
        <f t="shared" si="13"/>
        <v>0</v>
      </c>
    </row>
    <row r="81" spans="1:10" x14ac:dyDescent="0.25">
      <c r="A81" s="27">
        <v>120</v>
      </c>
      <c r="B81" s="27">
        <f>Rainfall!G8</f>
        <v>56.2</v>
      </c>
      <c r="C81" s="61">
        <f t="shared" si="9"/>
        <v>28.1</v>
      </c>
      <c r="D81" s="62">
        <v>1</v>
      </c>
      <c r="E81" s="61">
        <f t="shared" si="10"/>
        <v>32877</v>
      </c>
      <c r="F81" s="62">
        <f t="shared" si="11"/>
        <v>4.5662500000000001</v>
      </c>
      <c r="G81" s="61">
        <f t="shared" si="14"/>
        <v>0</v>
      </c>
      <c r="H81" s="62">
        <f t="shared" si="12"/>
        <v>0</v>
      </c>
      <c r="I81" s="61">
        <f t="shared" si="15"/>
        <v>0</v>
      </c>
      <c r="J81" s="61">
        <f t="shared" si="13"/>
        <v>0</v>
      </c>
    </row>
    <row r="82" spans="1:10" x14ac:dyDescent="0.25">
      <c r="A82" s="27">
        <v>360</v>
      </c>
      <c r="B82" s="27">
        <f>Rainfall!H8</f>
        <v>90</v>
      </c>
      <c r="C82" s="61">
        <f t="shared" si="9"/>
        <v>15</v>
      </c>
      <c r="D82" s="62">
        <v>1</v>
      </c>
      <c r="E82" s="61">
        <f t="shared" si="10"/>
        <v>52650</v>
      </c>
      <c r="F82" s="62">
        <f t="shared" si="11"/>
        <v>2.4375</v>
      </c>
      <c r="G82" s="61">
        <f t="shared" si="14"/>
        <v>0</v>
      </c>
      <c r="H82" s="62">
        <f t="shared" si="12"/>
        <v>0</v>
      </c>
      <c r="I82" s="61">
        <f t="shared" si="15"/>
        <v>0</v>
      </c>
      <c r="J82" s="61">
        <f t="shared" si="13"/>
        <v>0</v>
      </c>
    </row>
    <row r="83" spans="1:10" x14ac:dyDescent="0.25">
      <c r="A83" s="27">
        <v>720</v>
      </c>
      <c r="B83" s="27">
        <f>Rainfall!I8</f>
        <v>121.1</v>
      </c>
      <c r="C83" s="61">
        <f t="shared" si="9"/>
        <v>10.091666666666667</v>
      </c>
      <c r="D83" s="62">
        <v>1</v>
      </c>
      <c r="E83" s="61">
        <f t="shared" si="10"/>
        <v>70843.5</v>
      </c>
      <c r="F83" s="62">
        <f t="shared" si="11"/>
        <v>1.6398958333333333</v>
      </c>
      <c r="G83" s="61">
        <f t="shared" si="14"/>
        <v>0</v>
      </c>
      <c r="H83" s="62">
        <f t="shared" si="12"/>
        <v>0</v>
      </c>
      <c r="I83" s="61">
        <f t="shared" si="15"/>
        <v>0</v>
      </c>
      <c r="J83" s="61">
        <f t="shared" si="13"/>
        <v>0</v>
      </c>
    </row>
    <row r="84" spans="1:10" x14ac:dyDescent="0.25">
      <c r="I84" s="50" t="s">
        <v>39</v>
      </c>
      <c r="J84" s="61">
        <f>IF(I29&gt;I5,ROUND(MAX(J77:J83),-2),0)</f>
        <v>0</v>
      </c>
    </row>
    <row r="85" spans="1:10" x14ac:dyDescent="0.25">
      <c r="I85" s="50" t="s">
        <v>87</v>
      </c>
      <c r="J85" s="64">
        <f>IF(J84-J71&lt;0,0,J84-J71)</f>
        <v>0</v>
      </c>
    </row>
    <row r="86" spans="1:10" x14ac:dyDescent="0.25">
      <c r="I86" s="50" t="s">
        <v>147</v>
      </c>
      <c r="J86" s="64">
        <f>J72-J71</f>
        <v>0</v>
      </c>
    </row>
    <row r="87" spans="1:10" x14ac:dyDescent="0.25">
      <c r="A87" s="27"/>
      <c r="B87" s="27"/>
      <c r="C87" s="61"/>
      <c r="D87" s="62"/>
      <c r="E87" s="61"/>
      <c r="F87" s="62"/>
      <c r="G87" s="61"/>
      <c r="H87" s="62"/>
      <c r="I87" s="94" t="s">
        <v>161</v>
      </c>
      <c r="J87" s="61">
        <f>IF(J85=0,0,IF(J86&gt;J85,0,J85-J86))</f>
        <v>0</v>
      </c>
    </row>
    <row r="88" spans="1:10" x14ac:dyDescent="0.25">
      <c r="I88" s="17" t="s">
        <v>162</v>
      </c>
      <c r="J88" s="61">
        <f>VLOOKUP(J87,Lists!A87:B124,2)</f>
        <v>0</v>
      </c>
    </row>
    <row r="89" spans="1:10" x14ac:dyDescent="0.25">
      <c r="I89" s="50"/>
      <c r="J89" s="64"/>
    </row>
  </sheetData>
  <sheetProtection password="8731" sheet="1" objects="1" scenarios="1"/>
  <mergeCells count="8">
    <mergeCell ref="F1:G1"/>
    <mergeCell ref="I1:J1"/>
    <mergeCell ref="E62:F62"/>
    <mergeCell ref="E75:F75"/>
    <mergeCell ref="A61:J61"/>
    <mergeCell ref="A74:J74"/>
    <mergeCell ref="G62:H62"/>
    <mergeCell ref="G75:H75"/>
  </mergeCells>
  <pageMargins left="0.70866141732283472" right="0.70866141732283472" top="0.74803149606299213" bottom="0.74803149606299213" header="0.31496062992125984" footer="0.31496062992125984"/>
  <pageSetup paperSize="9" scale="72" fitToHeight="3" orientation="portrait" r:id="rId1"/>
  <headerFooter>
    <oddHeader>&amp;C&amp;"-,Bold"&amp;14Hastings District Council
On-Site Stormwater Detention Calculator</oddHeader>
    <oddFooter>&amp;L&amp;D &amp;T&amp;RV05b</oddFooter>
  </headerFooter>
  <rowBreaks count="1" manualBreakCount="1">
    <brk id="59" max="16383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E148"/>
  <sheetViews>
    <sheetView workbookViewId="0">
      <selection sqref="A1:A2"/>
    </sheetView>
  </sheetViews>
  <sheetFormatPr defaultRowHeight="15" customHeight="1" x14ac:dyDescent="0.25"/>
  <cols>
    <col min="1" max="1" width="29.28515625" style="49" customWidth="1"/>
    <col min="2" max="2" width="11.140625" style="49" customWidth="1"/>
    <col min="3" max="3" width="11" style="49" customWidth="1"/>
    <col min="4" max="4" width="13.7109375" style="49" customWidth="1"/>
    <col min="5" max="5" width="12.85546875" style="49" customWidth="1"/>
    <col min="6" max="16384" width="9.140625" style="49"/>
  </cols>
  <sheetData>
    <row r="1" spans="1:5" ht="27" customHeight="1" x14ac:dyDescent="0.25">
      <c r="A1" s="163" t="s">
        <v>33</v>
      </c>
      <c r="B1" s="165" t="s">
        <v>34</v>
      </c>
      <c r="C1" s="166"/>
      <c r="D1" s="165" t="s">
        <v>84</v>
      </c>
      <c r="E1" s="166"/>
    </row>
    <row r="2" spans="1:5" ht="15" customHeight="1" x14ac:dyDescent="0.25">
      <c r="A2" s="164"/>
      <c r="B2" s="44" t="s">
        <v>35</v>
      </c>
      <c r="C2" s="45" t="s">
        <v>36</v>
      </c>
      <c r="D2" s="44" t="s">
        <v>35</v>
      </c>
      <c r="E2" s="45" t="s">
        <v>36</v>
      </c>
    </row>
    <row r="3" spans="1:5" ht="15" customHeight="1" x14ac:dyDescent="0.25">
      <c r="A3" s="43" t="s">
        <v>149</v>
      </c>
      <c r="B3" s="42"/>
      <c r="C3" s="46"/>
      <c r="D3" s="42"/>
      <c r="E3" s="46"/>
    </row>
    <row r="4" spans="1:5" ht="15" customHeight="1" x14ac:dyDescent="0.25">
      <c r="A4" s="43" t="s">
        <v>172</v>
      </c>
      <c r="B4" s="42">
        <v>0.8</v>
      </c>
      <c r="C4" s="46">
        <v>0.8</v>
      </c>
      <c r="D4" s="42">
        <v>0.3</v>
      </c>
      <c r="E4" s="46">
        <v>0.5</v>
      </c>
    </row>
    <row r="5" spans="1:5" ht="15" customHeight="1" thickBot="1" x14ac:dyDescent="0.3">
      <c r="A5" s="95" t="s">
        <v>94</v>
      </c>
      <c r="B5" s="47">
        <v>0.5</v>
      </c>
      <c r="C5" s="48">
        <v>0.6</v>
      </c>
      <c r="D5" s="47">
        <v>0.3</v>
      </c>
      <c r="E5" s="48">
        <v>0.5</v>
      </c>
    </row>
    <row r="9" spans="1:5" ht="15" customHeight="1" x14ac:dyDescent="0.25">
      <c r="A9" s="49" t="s">
        <v>54</v>
      </c>
    </row>
    <row r="10" spans="1:5" ht="15" customHeight="1" x14ac:dyDescent="0.25">
      <c r="A10" s="14">
        <v>1</v>
      </c>
    </row>
    <row r="11" spans="1:5" ht="15" customHeight="1" x14ac:dyDescent="0.25">
      <c r="A11" s="14">
        <v>0.9</v>
      </c>
    </row>
    <row r="12" spans="1:5" ht="15" customHeight="1" x14ac:dyDescent="0.25">
      <c r="A12" s="14">
        <v>0.8</v>
      </c>
    </row>
    <row r="13" spans="1:5" ht="15" customHeight="1" x14ac:dyDescent="0.25">
      <c r="A13" s="14">
        <v>0.7</v>
      </c>
    </row>
    <row r="14" spans="1:5" ht="15" customHeight="1" x14ac:dyDescent="0.25">
      <c r="A14" s="14">
        <v>0.6</v>
      </c>
    </row>
    <row r="15" spans="1:5" ht="15" customHeight="1" x14ac:dyDescent="0.25">
      <c r="A15" s="14">
        <v>0.5</v>
      </c>
    </row>
    <row r="16" spans="1:5" ht="15" customHeight="1" x14ac:dyDescent="0.25">
      <c r="A16" s="14">
        <v>0.4</v>
      </c>
    </row>
    <row r="17" spans="1:3" ht="15" customHeight="1" x14ac:dyDescent="0.25">
      <c r="A17" s="14">
        <v>0.3</v>
      </c>
    </row>
    <row r="18" spans="1:3" ht="15" customHeight="1" x14ac:dyDescent="0.25">
      <c r="A18" s="14">
        <v>0.2</v>
      </c>
    </row>
    <row r="19" spans="1:3" ht="15" customHeight="1" x14ac:dyDescent="0.25">
      <c r="A19" s="14">
        <v>0.1</v>
      </c>
    </row>
    <row r="20" spans="1:3" ht="15" customHeight="1" x14ac:dyDescent="0.25">
      <c r="A20" s="14">
        <v>0</v>
      </c>
    </row>
    <row r="24" spans="1:3" ht="15" customHeight="1" x14ac:dyDescent="0.25">
      <c r="A24" s="52" t="s">
        <v>47</v>
      </c>
    </row>
    <row r="25" spans="1:3" ht="15" customHeight="1" x14ac:dyDescent="0.25">
      <c r="A25" s="49" t="s">
        <v>48</v>
      </c>
      <c r="C25" s="49" t="s">
        <v>177</v>
      </c>
    </row>
    <row r="27" spans="1:3" ht="15" customHeight="1" x14ac:dyDescent="0.25">
      <c r="A27" s="24" t="s">
        <v>49</v>
      </c>
      <c r="B27" s="24">
        <v>0.9</v>
      </c>
      <c r="C27" s="49">
        <v>0.9</v>
      </c>
    </row>
    <row r="28" spans="1:3" ht="15" customHeight="1" x14ac:dyDescent="0.25">
      <c r="A28" s="24" t="s">
        <v>50</v>
      </c>
      <c r="B28" s="24">
        <v>0.85</v>
      </c>
      <c r="C28" s="49">
        <v>0.9</v>
      </c>
    </row>
    <row r="29" spans="1:3" ht="15" customHeight="1" x14ac:dyDescent="0.25">
      <c r="A29" s="24" t="s">
        <v>51</v>
      </c>
      <c r="B29" s="24">
        <v>0.8</v>
      </c>
      <c r="C29" s="49">
        <v>0.9</v>
      </c>
    </row>
    <row r="30" spans="1:3" ht="15" customHeight="1" x14ac:dyDescent="0.25">
      <c r="A30" s="24" t="s">
        <v>52</v>
      </c>
      <c r="B30" s="24">
        <v>0.25</v>
      </c>
      <c r="C30" s="49">
        <v>0.3</v>
      </c>
    </row>
    <row r="31" spans="1:3" ht="15" customHeight="1" x14ac:dyDescent="0.25">
      <c r="A31" s="24"/>
      <c r="B31" s="24"/>
    </row>
    <row r="32" spans="1:3" ht="15" customHeight="1" x14ac:dyDescent="0.25">
      <c r="A32" s="24"/>
      <c r="B32" s="24"/>
    </row>
    <row r="33" spans="1:2" ht="15" customHeight="1" thickBot="1" x14ac:dyDescent="0.3"/>
    <row r="34" spans="1:2" ht="15" customHeight="1" x14ac:dyDescent="0.25">
      <c r="A34" s="66" t="s">
        <v>89</v>
      </c>
    </row>
    <row r="35" spans="1:2" ht="15" customHeight="1" thickBot="1" x14ac:dyDescent="0.3">
      <c r="A35" s="67" t="s">
        <v>88</v>
      </c>
    </row>
    <row r="39" spans="1:2" ht="15" customHeight="1" x14ac:dyDescent="0.25">
      <c r="A39" s="50" t="s">
        <v>96</v>
      </c>
    </row>
    <row r="40" spans="1:2" ht="15" customHeight="1" x14ac:dyDescent="0.25">
      <c r="A40" s="49" t="s">
        <v>97</v>
      </c>
      <c r="B40" s="49">
        <v>15</v>
      </c>
    </row>
    <row r="41" spans="1:2" ht="15" customHeight="1" x14ac:dyDescent="0.25">
      <c r="A41" s="49" t="s">
        <v>115</v>
      </c>
      <c r="B41" s="49">
        <v>30</v>
      </c>
    </row>
    <row r="42" spans="1:2" ht="15" customHeight="1" x14ac:dyDescent="0.25">
      <c r="A42" s="49" t="s">
        <v>101</v>
      </c>
      <c r="B42" s="49">
        <v>50</v>
      </c>
    </row>
    <row r="43" spans="1:2" ht="15" customHeight="1" x14ac:dyDescent="0.25">
      <c r="A43" s="49" t="s">
        <v>102</v>
      </c>
      <c r="B43" s="49">
        <v>75</v>
      </c>
    </row>
    <row r="44" spans="1:2" ht="15" customHeight="1" x14ac:dyDescent="0.25">
      <c r="A44" s="49" t="s">
        <v>103</v>
      </c>
      <c r="B44" s="49">
        <v>100</v>
      </c>
    </row>
    <row r="45" spans="1:2" ht="15" customHeight="1" x14ac:dyDescent="0.25">
      <c r="A45" s="49" t="s">
        <v>133</v>
      </c>
      <c r="B45" s="49">
        <v>150</v>
      </c>
    </row>
    <row r="47" spans="1:2" ht="15" customHeight="1" x14ac:dyDescent="0.25">
      <c r="A47" s="50" t="s">
        <v>178</v>
      </c>
    </row>
    <row r="48" spans="1:2" ht="15" customHeight="1" x14ac:dyDescent="0.25">
      <c r="A48" s="49" t="s">
        <v>172</v>
      </c>
      <c r="B48" s="14">
        <v>0.95</v>
      </c>
    </row>
    <row r="49" spans="1:2" ht="15" customHeight="1" x14ac:dyDescent="0.25">
      <c r="A49" s="49" t="s">
        <v>94</v>
      </c>
      <c r="B49" s="14">
        <v>0.8</v>
      </c>
    </row>
    <row r="51" spans="1:2" ht="15" customHeight="1" x14ac:dyDescent="0.25">
      <c r="A51" s="50" t="s">
        <v>98</v>
      </c>
    </row>
    <row r="52" spans="1:2" ht="15" customHeight="1" x14ac:dyDescent="0.25">
      <c r="A52" s="49" t="s">
        <v>99</v>
      </c>
      <c r="B52" s="49">
        <v>100</v>
      </c>
    </row>
    <row r="53" spans="1:2" ht="15" customHeight="1" x14ac:dyDescent="0.25">
      <c r="A53" s="49" t="s">
        <v>104</v>
      </c>
      <c r="B53" s="49">
        <v>125</v>
      </c>
    </row>
    <row r="54" spans="1:2" ht="15" customHeight="1" x14ac:dyDescent="0.25">
      <c r="A54" s="49" t="s">
        <v>105</v>
      </c>
      <c r="B54" s="49">
        <v>150</v>
      </c>
    </row>
    <row r="55" spans="1:2" ht="15" customHeight="1" x14ac:dyDescent="0.25">
      <c r="A55" s="49" t="s">
        <v>106</v>
      </c>
      <c r="B55" s="49">
        <v>175</v>
      </c>
    </row>
    <row r="56" spans="1:2" ht="15" customHeight="1" x14ac:dyDescent="0.25">
      <c r="A56" s="49" t="s">
        <v>107</v>
      </c>
      <c r="B56" s="49">
        <v>200</v>
      </c>
    </row>
    <row r="57" spans="1:2" ht="15" customHeight="1" x14ac:dyDescent="0.25">
      <c r="A57" s="49" t="s">
        <v>108</v>
      </c>
      <c r="B57" s="49">
        <v>225</v>
      </c>
    </row>
    <row r="58" spans="1:2" ht="15" customHeight="1" x14ac:dyDescent="0.25">
      <c r="A58" s="49" t="s">
        <v>109</v>
      </c>
      <c r="B58" s="49">
        <v>250</v>
      </c>
    </row>
    <row r="59" spans="1:2" ht="15" customHeight="1" x14ac:dyDescent="0.25">
      <c r="A59" s="49" t="s">
        <v>110</v>
      </c>
      <c r="B59" s="49">
        <v>275</v>
      </c>
    </row>
    <row r="60" spans="1:2" ht="15" customHeight="1" x14ac:dyDescent="0.25">
      <c r="A60" s="49" t="s">
        <v>111</v>
      </c>
      <c r="B60" s="49">
        <v>300</v>
      </c>
    </row>
    <row r="61" spans="1:2" ht="15" customHeight="1" x14ac:dyDescent="0.25">
      <c r="A61" s="49" t="s">
        <v>112</v>
      </c>
      <c r="B61" s="49">
        <v>350</v>
      </c>
    </row>
    <row r="62" spans="1:2" ht="15" customHeight="1" x14ac:dyDescent="0.25">
      <c r="A62" s="49" t="s">
        <v>113</v>
      </c>
      <c r="B62" s="49">
        <v>400</v>
      </c>
    </row>
    <row r="63" spans="1:2" ht="15" customHeight="1" x14ac:dyDescent="0.25">
      <c r="A63" s="49" t="s">
        <v>114</v>
      </c>
      <c r="B63" s="49">
        <v>500</v>
      </c>
    </row>
    <row r="64" spans="1:2" ht="15" customHeight="1" x14ac:dyDescent="0.25">
      <c r="A64" s="49" t="s">
        <v>173</v>
      </c>
      <c r="B64" s="49">
        <v>600</v>
      </c>
    </row>
    <row r="65" spans="1:2" ht="15" customHeight="1" x14ac:dyDescent="0.25">
      <c r="A65" s="49" t="s">
        <v>174</v>
      </c>
      <c r="B65" s="49">
        <v>700</v>
      </c>
    </row>
    <row r="66" spans="1:2" ht="15" customHeight="1" x14ac:dyDescent="0.25">
      <c r="A66" s="49" t="s">
        <v>175</v>
      </c>
      <c r="B66" s="49">
        <v>800</v>
      </c>
    </row>
    <row r="67" spans="1:2" ht="15" customHeight="1" x14ac:dyDescent="0.25">
      <c r="A67" s="49" t="s">
        <v>176</v>
      </c>
      <c r="B67" s="49">
        <v>900</v>
      </c>
    </row>
    <row r="69" spans="1:2" ht="15" customHeight="1" x14ac:dyDescent="0.25">
      <c r="A69" s="50" t="s">
        <v>100</v>
      </c>
    </row>
    <row r="70" spans="1:2" ht="15" customHeight="1" x14ac:dyDescent="0.25">
      <c r="A70" s="49" t="s">
        <v>181</v>
      </c>
      <c r="B70" s="49">
        <v>0</v>
      </c>
    </row>
    <row r="71" spans="1:2" ht="15" customHeight="1" x14ac:dyDescent="0.25">
      <c r="A71" s="49" t="s">
        <v>134</v>
      </c>
      <c r="B71" s="49">
        <v>20</v>
      </c>
    </row>
    <row r="72" spans="1:2" ht="15" customHeight="1" x14ac:dyDescent="0.25">
      <c r="A72" s="49" t="s">
        <v>135</v>
      </c>
      <c r="B72" s="49">
        <v>40</v>
      </c>
    </row>
    <row r="73" spans="1:2" ht="15" customHeight="1" x14ac:dyDescent="0.25">
      <c r="A73" s="49" t="s">
        <v>136</v>
      </c>
      <c r="B73" s="49">
        <v>60</v>
      </c>
    </row>
    <row r="76" spans="1:2" ht="15" customHeight="1" x14ac:dyDescent="0.25">
      <c r="A76" s="50" t="s">
        <v>126</v>
      </c>
    </row>
    <row r="77" spans="1:2" ht="15" customHeight="1" x14ac:dyDescent="0.25">
      <c r="A77" s="49" t="s">
        <v>125</v>
      </c>
      <c r="B77" s="49">
        <v>100</v>
      </c>
    </row>
    <row r="78" spans="1:2" ht="15" customHeight="1" x14ac:dyDescent="0.25">
      <c r="A78" s="49" t="s">
        <v>132</v>
      </c>
      <c r="B78" s="49">
        <v>300</v>
      </c>
    </row>
    <row r="79" spans="1:2" ht="15" customHeight="1" x14ac:dyDescent="0.25">
      <c r="A79" s="49" t="s">
        <v>131</v>
      </c>
      <c r="B79" s="49">
        <v>500</v>
      </c>
    </row>
    <row r="80" spans="1:2" ht="15" customHeight="1" x14ac:dyDescent="0.25">
      <c r="A80" s="49" t="s">
        <v>130</v>
      </c>
      <c r="B80" s="49">
        <v>1000</v>
      </c>
    </row>
    <row r="81" spans="1:2" ht="15" customHeight="1" x14ac:dyDescent="0.25">
      <c r="A81" s="49" t="s">
        <v>129</v>
      </c>
      <c r="B81" s="49">
        <v>1500</v>
      </c>
    </row>
    <row r="82" spans="1:2" ht="15" customHeight="1" x14ac:dyDescent="0.25">
      <c r="A82" s="49" t="s">
        <v>128</v>
      </c>
      <c r="B82" s="49">
        <v>2000</v>
      </c>
    </row>
    <row r="83" spans="1:2" ht="15" customHeight="1" x14ac:dyDescent="0.25">
      <c r="A83" s="49" t="s">
        <v>127</v>
      </c>
      <c r="B83" s="49">
        <v>2500</v>
      </c>
    </row>
    <row r="86" spans="1:2" ht="15" customHeight="1" x14ac:dyDescent="0.25">
      <c r="A86" s="50" t="s">
        <v>145</v>
      </c>
    </row>
    <row r="87" spans="1:2" ht="15" customHeight="1" x14ac:dyDescent="0.25">
      <c r="A87" s="49">
        <v>-1E+20</v>
      </c>
      <c r="B87" s="49">
        <v>0</v>
      </c>
    </row>
    <row r="88" spans="1:2" ht="15" customHeight="1" x14ac:dyDescent="0.25">
      <c r="A88" s="49">
        <v>0</v>
      </c>
      <c r="B88" s="49">
        <v>0</v>
      </c>
    </row>
    <row r="89" spans="1:2" ht="15" customHeight="1" x14ac:dyDescent="0.25">
      <c r="A89" s="49">
        <v>500</v>
      </c>
      <c r="B89" s="49">
        <v>1000</v>
      </c>
    </row>
    <row r="90" spans="1:2" ht="15" customHeight="1" x14ac:dyDescent="0.25">
      <c r="A90" s="49">
        <v>1000</v>
      </c>
      <c r="B90" s="49">
        <f>A90</f>
        <v>1000</v>
      </c>
    </row>
    <row r="91" spans="1:2" ht="15" customHeight="1" x14ac:dyDescent="0.25">
      <c r="A91" s="49">
        <v>1200</v>
      </c>
      <c r="B91" s="49">
        <f t="shared" ref="B91:B124" si="0">A91</f>
        <v>1200</v>
      </c>
    </row>
    <row r="92" spans="1:2" ht="15" customHeight="1" x14ac:dyDescent="0.25">
      <c r="A92" s="49">
        <v>1400</v>
      </c>
      <c r="B92" s="49">
        <f t="shared" si="0"/>
        <v>1400</v>
      </c>
    </row>
    <row r="93" spans="1:2" ht="15" customHeight="1" x14ac:dyDescent="0.25">
      <c r="A93" s="49">
        <v>1600</v>
      </c>
      <c r="B93" s="49">
        <f t="shared" si="0"/>
        <v>1600</v>
      </c>
    </row>
    <row r="94" spans="1:2" ht="15" customHeight="1" x14ac:dyDescent="0.25">
      <c r="A94" s="49">
        <v>1800</v>
      </c>
      <c r="B94" s="49">
        <f t="shared" si="0"/>
        <v>1800</v>
      </c>
    </row>
    <row r="95" spans="1:2" ht="15" customHeight="1" x14ac:dyDescent="0.25">
      <c r="A95" s="49">
        <v>2000</v>
      </c>
      <c r="B95" s="49">
        <f t="shared" si="0"/>
        <v>2000</v>
      </c>
    </row>
    <row r="96" spans="1:2" ht="15" customHeight="1" x14ac:dyDescent="0.25">
      <c r="A96" s="49">
        <v>2200</v>
      </c>
      <c r="B96" s="49">
        <f t="shared" si="0"/>
        <v>2200</v>
      </c>
    </row>
    <row r="97" spans="1:2" ht="15" customHeight="1" x14ac:dyDescent="0.25">
      <c r="A97" s="49">
        <v>2500</v>
      </c>
      <c r="B97" s="49">
        <f t="shared" si="0"/>
        <v>2500</v>
      </c>
    </row>
    <row r="98" spans="1:2" ht="15" customHeight="1" x14ac:dyDescent="0.25">
      <c r="A98" s="49">
        <v>3000</v>
      </c>
      <c r="B98" s="49">
        <f t="shared" si="0"/>
        <v>3000</v>
      </c>
    </row>
    <row r="99" spans="1:2" ht="15" customHeight="1" x14ac:dyDescent="0.25">
      <c r="A99" s="49">
        <v>3500</v>
      </c>
      <c r="B99" s="49">
        <f t="shared" si="0"/>
        <v>3500</v>
      </c>
    </row>
    <row r="100" spans="1:2" ht="15" customHeight="1" x14ac:dyDescent="0.25">
      <c r="A100" s="49">
        <v>4000</v>
      </c>
      <c r="B100" s="49">
        <f t="shared" si="0"/>
        <v>4000</v>
      </c>
    </row>
    <row r="101" spans="1:2" ht="15" customHeight="1" x14ac:dyDescent="0.25">
      <c r="A101" s="49">
        <v>4500</v>
      </c>
      <c r="B101" s="49">
        <f t="shared" si="0"/>
        <v>4500</v>
      </c>
    </row>
    <row r="102" spans="1:2" ht="15" customHeight="1" x14ac:dyDescent="0.25">
      <c r="A102" s="49">
        <v>5000</v>
      </c>
      <c r="B102" s="49">
        <f t="shared" si="0"/>
        <v>5000</v>
      </c>
    </row>
    <row r="103" spans="1:2" ht="15" customHeight="1" x14ac:dyDescent="0.25">
      <c r="A103" s="49">
        <v>5500</v>
      </c>
      <c r="B103" s="49">
        <f t="shared" si="0"/>
        <v>5500</v>
      </c>
    </row>
    <row r="104" spans="1:2" ht="15" customHeight="1" x14ac:dyDescent="0.25">
      <c r="A104" s="49">
        <v>6000</v>
      </c>
      <c r="B104" s="49">
        <f t="shared" si="0"/>
        <v>6000</v>
      </c>
    </row>
    <row r="105" spans="1:2" ht="15" customHeight="1" x14ac:dyDescent="0.25">
      <c r="A105" s="49">
        <v>6500</v>
      </c>
      <c r="B105" s="49">
        <f t="shared" si="0"/>
        <v>6500</v>
      </c>
    </row>
    <row r="106" spans="1:2" ht="15" customHeight="1" x14ac:dyDescent="0.25">
      <c r="A106" s="49">
        <v>7000</v>
      </c>
      <c r="B106" s="49">
        <f t="shared" si="0"/>
        <v>7000</v>
      </c>
    </row>
    <row r="107" spans="1:2" ht="15" customHeight="1" x14ac:dyDescent="0.25">
      <c r="A107" s="49">
        <v>7500</v>
      </c>
      <c r="B107" s="49">
        <f t="shared" si="0"/>
        <v>7500</v>
      </c>
    </row>
    <row r="108" spans="1:2" ht="15" customHeight="1" x14ac:dyDescent="0.25">
      <c r="A108" s="49">
        <v>10000</v>
      </c>
      <c r="B108" s="49">
        <f t="shared" si="0"/>
        <v>10000</v>
      </c>
    </row>
    <row r="109" spans="1:2" ht="15" customHeight="1" x14ac:dyDescent="0.25">
      <c r="A109" s="49">
        <v>11000</v>
      </c>
      <c r="B109" s="49">
        <f t="shared" si="0"/>
        <v>11000</v>
      </c>
    </row>
    <row r="110" spans="1:2" ht="15" customHeight="1" x14ac:dyDescent="0.25">
      <c r="A110" s="49">
        <v>12000</v>
      </c>
      <c r="B110" s="49">
        <f t="shared" si="0"/>
        <v>12000</v>
      </c>
    </row>
    <row r="111" spans="1:2" ht="15" customHeight="1" x14ac:dyDescent="0.25">
      <c r="A111" s="49">
        <v>13000</v>
      </c>
      <c r="B111" s="49">
        <f t="shared" si="0"/>
        <v>13000</v>
      </c>
    </row>
    <row r="112" spans="1:2" ht="15" customHeight="1" x14ac:dyDescent="0.25">
      <c r="A112" s="49">
        <v>14000</v>
      </c>
      <c r="B112" s="49">
        <f t="shared" si="0"/>
        <v>14000</v>
      </c>
    </row>
    <row r="113" spans="1:2" ht="15" customHeight="1" x14ac:dyDescent="0.25">
      <c r="A113" s="49">
        <v>15000</v>
      </c>
      <c r="B113" s="49">
        <f t="shared" si="0"/>
        <v>15000</v>
      </c>
    </row>
    <row r="114" spans="1:2" ht="15" customHeight="1" x14ac:dyDescent="0.25">
      <c r="A114" s="49">
        <v>16000</v>
      </c>
      <c r="B114" s="49">
        <f t="shared" si="0"/>
        <v>16000</v>
      </c>
    </row>
    <row r="115" spans="1:2" ht="15" customHeight="1" x14ac:dyDescent="0.25">
      <c r="A115" s="49">
        <v>17000</v>
      </c>
      <c r="B115" s="49">
        <f t="shared" si="0"/>
        <v>17000</v>
      </c>
    </row>
    <row r="116" spans="1:2" ht="15" customHeight="1" x14ac:dyDescent="0.25">
      <c r="A116" s="49">
        <v>18000</v>
      </c>
      <c r="B116" s="49">
        <f t="shared" si="0"/>
        <v>18000</v>
      </c>
    </row>
    <row r="117" spans="1:2" ht="15" customHeight="1" x14ac:dyDescent="0.25">
      <c r="A117" s="49">
        <v>19000</v>
      </c>
      <c r="B117" s="49">
        <f t="shared" si="0"/>
        <v>19000</v>
      </c>
    </row>
    <row r="118" spans="1:2" ht="15" customHeight="1" x14ac:dyDescent="0.25">
      <c r="A118" s="49">
        <v>20000</v>
      </c>
      <c r="B118" s="49">
        <f t="shared" si="0"/>
        <v>20000</v>
      </c>
    </row>
    <row r="119" spans="1:2" ht="15" customHeight="1" x14ac:dyDescent="0.25">
      <c r="A119" s="49">
        <v>22000</v>
      </c>
      <c r="B119" s="49">
        <f t="shared" si="0"/>
        <v>22000</v>
      </c>
    </row>
    <row r="120" spans="1:2" ht="15" customHeight="1" x14ac:dyDescent="0.25">
      <c r="A120" s="49">
        <v>25000</v>
      </c>
      <c r="B120" s="49">
        <f t="shared" si="0"/>
        <v>25000</v>
      </c>
    </row>
    <row r="121" spans="1:2" ht="15" customHeight="1" x14ac:dyDescent="0.25">
      <c r="A121" s="49">
        <v>30000</v>
      </c>
      <c r="B121" s="49">
        <f t="shared" si="0"/>
        <v>30000</v>
      </c>
    </row>
    <row r="122" spans="1:2" ht="15" customHeight="1" x14ac:dyDescent="0.25">
      <c r="A122" s="49">
        <v>35000</v>
      </c>
      <c r="B122" s="49">
        <f t="shared" si="0"/>
        <v>35000</v>
      </c>
    </row>
    <row r="123" spans="1:2" ht="15" customHeight="1" x14ac:dyDescent="0.25">
      <c r="A123" s="49">
        <v>40000</v>
      </c>
      <c r="B123" s="49">
        <f t="shared" si="0"/>
        <v>40000</v>
      </c>
    </row>
    <row r="124" spans="1:2" ht="15" customHeight="1" x14ac:dyDescent="0.25">
      <c r="A124" s="49">
        <v>50000</v>
      </c>
      <c r="B124" s="49">
        <f t="shared" si="0"/>
        <v>50000</v>
      </c>
    </row>
    <row r="127" spans="1:2" ht="15" customHeight="1" x14ac:dyDescent="0.25">
      <c r="A127" s="50"/>
    </row>
    <row r="128" spans="1:2" ht="15" customHeight="1" x14ac:dyDescent="0.25">
      <c r="B128" s="97"/>
    </row>
    <row r="129" spans="2:2" ht="15" customHeight="1" x14ac:dyDescent="0.25">
      <c r="B129" s="97"/>
    </row>
    <row r="130" spans="2:2" ht="15" customHeight="1" x14ac:dyDescent="0.25">
      <c r="B130" s="97"/>
    </row>
    <row r="131" spans="2:2" ht="15" customHeight="1" x14ac:dyDescent="0.25">
      <c r="B131" s="97"/>
    </row>
    <row r="132" spans="2:2" ht="15" customHeight="1" x14ac:dyDescent="0.25">
      <c r="B132" s="97"/>
    </row>
    <row r="133" spans="2:2" ht="15" customHeight="1" x14ac:dyDescent="0.25">
      <c r="B133" s="97"/>
    </row>
    <row r="134" spans="2:2" ht="15" customHeight="1" x14ac:dyDescent="0.25">
      <c r="B134" s="97"/>
    </row>
    <row r="135" spans="2:2" ht="15" customHeight="1" x14ac:dyDescent="0.25">
      <c r="B135" s="97"/>
    </row>
    <row r="136" spans="2:2" ht="15" customHeight="1" x14ac:dyDescent="0.25">
      <c r="B136" s="97"/>
    </row>
    <row r="137" spans="2:2" ht="15" customHeight="1" x14ac:dyDescent="0.25">
      <c r="B137" s="97"/>
    </row>
    <row r="138" spans="2:2" ht="15" customHeight="1" x14ac:dyDescent="0.25">
      <c r="B138" s="97"/>
    </row>
    <row r="139" spans="2:2" ht="15" customHeight="1" x14ac:dyDescent="0.25">
      <c r="B139" s="97"/>
    </row>
    <row r="140" spans="2:2" ht="15" customHeight="1" x14ac:dyDescent="0.25">
      <c r="B140" s="97"/>
    </row>
    <row r="141" spans="2:2" ht="15" customHeight="1" x14ac:dyDescent="0.25">
      <c r="B141" s="97"/>
    </row>
    <row r="142" spans="2:2" ht="15" customHeight="1" x14ac:dyDescent="0.25">
      <c r="B142" s="97"/>
    </row>
    <row r="143" spans="2:2" ht="15" customHeight="1" x14ac:dyDescent="0.25">
      <c r="B143" s="97"/>
    </row>
    <row r="144" spans="2:2" ht="15" customHeight="1" x14ac:dyDescent="0.25">
      <c r="B144" s="97"/>
    </row>
    <row r="145" spans="2:2" ht="15" customHeight="1" x14ac:dyDescent="0.25">
      <c r="B145" s="97"/>
    </row>
    <row r="146" spans="2:2" ht="15" customHeight="1" x14ac:dyDescent="0.25">
      <c r="B146" s="97"/>
    </row>
    <row r="147" spans="2:2" ht="15" customHeight="1" x14ac:dyDescent="0.25">
      <c r="B147" s="97"/>
    </row>
    <row r="148" spans="2:2" ht="15" customHeight="1" x14ac:dyDescent="0.25">
      <c r="B148" s="97"/>
    </row>
  </sheetData>
  <sheetProtection password="8731" sheet="1" objects="1" scenarios="1" selectLockedCells="1"/>
  <sortState ref="A3:C8">
    <sortCondition ref="A3:A8"/>
  </sortState>
  <customSheetViews>
    <customSheetView guid="{3D7EB65F-0FC5-47F2-9875-B5415B55E484}">
      <selection activeCell="E3" sqref="E3:I12"/>
      <pageMargins left="0.7" right="0.7" top="0.75" bottom="0.75" header="0.3" footer="0.3"/>
      <pageSetup paperSize="9" orientation="portrait" r:id="rId1"/>
    </customSheetView>
    <customSheetView guid="{92152A40-AC35-40DB-8CA0-26244A2F5883}">
      <selection activeCell="E3" sqref="E3:I12"/>
    </customSheetView>
  </customSheetViews>
  <mergeCells count="3">
    <mergeCell ref="A1:A2"/>
    <mergeCell ref="B1:C1"/>
    <mergeCell ref="D1:E1"/>
  </mergeCells>
  <pageMargins left="0.70866141732283472" right="0.70866141732283472" top="0.74803149606299213" bottom="0.74803149606299213" header="0.31496062992125984" footer="0.31496062992125984"/>
  <pageSetup paperSize="9" scale="35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Y39"/>
  <sheetViews>
    <sheetView workbookViewId="0">
      <selection activeCell="D1" sqref="D1:I1"/>
    </sheetView>
  </sheetViews>
  <sheetFormatPr defaultRowHeight="15" x14ac:dyDescent="0.25"/>
  <sheetData>
    <row r="1" spans="1:25" x14ac:dyDescent="0.25">
      <c r="A1" s="1" t="s">
        <v>58</v>
      </c>
      <c r="C1" s="1" t="s">
        <v>61</v>
      </c>
      <c r="D1" s="167" t="s">
        <v>67</v>
      </c>
      <c r="E1" s="167"/>
      <c r="F1" s="167"/>
      <c r="G1" s="167"/>
      <c r="H1" s="167"/>
      <c r="I1" s="167"/>
    </row>
    <row r="2" spans="1:25" ht="17.25" x14ac:dyDescent="0.25">
      <c r="A2" s="1"/>
      <c r="C2" s="17" t="s">
        <v>62</v>
      </c>
      <c r="D2" s="29">
        <v>2.06</v>
      </c>
      <c r="E2" t="s">
        <v>63</v>
      </c>
    </row>
    <row r="3" spans="1:25" ht="15.75" thickBot="1" x14ac:dyDescent="0.3"/>
    <row r="4" spans="1:25" ht="15.75" thickTop="1" x14ac:dyDescent="0.25">
      <c r="A4" s="32" t="s">
        <v>3</v>
      </c>
      <c r="B4" s="33" t="s">
        <v>4</v>
      </c>
      <c r="C4" s="33" t="s">
        <v>5</v>
      </c>
      <c r="D4" s="33" t="s">
        <v>6</v>
      </c>
      <c r="E4" s="33" t="s">
        <v>7</v>
      </c>
      <c r="F4" s="33" t="s">
        <v>8</v>
      </c>
      <c r="G4" s="33" t="s">
        <v>9</v>
      </c>
      <c r="H4" s="33" t="s">
        <v>10</v>
      </c>
      <c r="I4" s="33" t="s">
        <v>11</v>
      </c>
      <c r="J4" s="33" t="s">
        <v>12</v>
      </c>
      <c r="K4" s="33" t="s">
        <v>13</v>
      </c>
      <c r="L4" s="34" t="s">
        <v>14</v>
      </c>
    </row>
    <row r="5" spans="1:25" x14ac:dyDescent="0.25">
      <c r="A5" s="35">
        <v>2</v>
      </c>
      <c r="B5" s="31">
        <v>0.5</v>
      </c>
      <c r="C5" s="29">
        <v>5.6</v>
      </c>
      <c r="D5" s="29">
        <v>8.3000000000000007</v>
      </c>
      <c r="E5" s="29">
        <v>10.5</v>
      </c>
      <c r="F5" s="29">
        <v>15.5</v>
      </c>
      <c r="G5" s="29">
        <v>22</v>
      </c>
      <c r="H5" s="29">
        <v>38.200000000000003</v>
      </c>
      <c r="I5" s="29">
        <v>54.1</v>
      </c>
      <c r="J5" s="29">
        <v>76.7</v>
      </c>
      <c r="K5" s="29">
        <v>88.5</v>
      </c>
      <c r="L5" s="65">
        <v>96.2</v>
      </c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</row>
    <row r="6" spans="1:25" x14ac:dyDescent="0.25">
      <c r="A6" s="35">
        <v>5</v>
      </c>
      <c r="B6" s="31">
        <v>0.2</v>
      </c>
      <c r="C6" s="29">
        <v>7.7</v>
      </c>
      <c r="D6" s="29">
        <v>11.4</v>
      </c>
      <c r="E6" s="29">
        <v>14.4</v>
      </c>
      <c r="F6" s="29">
        <v>21.3</v>
      </c>
      <c r="G6" s="29">
        <v>29.7</v>
      </c>
      <c r="H6" s="29">
        <v>50.3</v>
      </c>
      <c r="I6" s="29">
        <v>70.099999999999994</v>
      </c>
      <c r="J6" s="29">
        <v>97.7</v>
      </c>
      <c r="K6" s="29">
        <v>112.7</v>
      </c>
      <c r="L6" s="65">
        <v>122.5</v>
      </c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</row>
    <row r="7" spans="1:25" x14ac:dyDescent="0.25">
      <c r="A7" s="35">
        <v>10</v>
      </c>
      <c r="B7" s="31">
        <v>0.1</v>
      </c>
      <c r="C7" s="29">
        <v>9.5</v>
      </c>
      <c r="D7" s="29">
        <v>14.1</v>
      </c>
      <c r="E7" s="29">
        <v>17.7</v>
      </c>
      <c r="F7" s="29">
        <v>26.3</v>
      </c>
      <c r="G7" s="29">
        <v>36.200000000000003</v>
      </c>
      <c r="H7" s="29">
        <v>60.3</v>
      </c>
      <c r="I7" s="29">
        <v>83.1</v>
      </c>
      <c r="J7" s="29">
        <v>114.6</v>
      </c>
      <c r="K7" s="29">
        <v>132.19999999999999</v>
      </c>
      <c r="L7" s="65">
        <v>143.80000000000001</v>
      </c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</row>
    <row r="8" spans="1:25" x14ac:dyDescent="0.25">
      <c r="A8" s="35">
        <v>50</v>
      </c>
      <c r="B8" s="31">
        <v>0.02</v>
      </c>
      <c r="C8" s="29">
        <v>15.1</v>
      </c>
      <c r="D8" s="29">
        <v>22.4</v>
      </c>
      <c r="E8" s="29">
        <v>28.2</v>
      </c>
      <c r="F8" s="29">
        <v>41.8</v>
      </c>
      <c r="G8" s="29">
        <v>56.2</v>
      </c>
      <c r="H8" s="29">
        <v>90</v>
      </c>
      <c r="I8" s="29">
        <v>121.1</v>
      </c>
      <c r="J8" s="29">
        <v>162.9</v>
      </c>
      <c r="K8" s="29">
        <v>188</v>
      </c>
      <c r="L8" s="65">
        <v>204.4</v>
      </c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</row>
    <row r="9" spans="1:25" x14ac:dyDescent="0.25">
      <c r="A9" s="35">
        <v>100</v>
      </c>
      <c r="B9" s="31">
        <v>0.01</v>
      </c>
      <c r="C9" s="29">
        <v>18.399999999999999</v>
      </c>
      <c r="D9" s="29">
        <v>27.3</v>
      </c>
      <c r="E9" s="29">
        <v>34.299999999999997</v>
      </c>
      <c r="F9" s="29">
        <v>50.8</v>
      </c>
      <c r="G9" s="29">
        <v>67.7</v>
      </c>
      <c r="H9" s="29">
        <v>106.6</v>
      </c>
      <c r="I9" s="29">
        <v>142</v>
      </c>
      <c r="J9" s="29">
        <v>189</v>
      </c>
      <c r="K9" s="29">
        <v>218.1</v>
      </c>
      <c r="L9" s="65">
        <v>237.2</v>
      </c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</row>
    <row r="10" spans="1:25" ht="15.75" thickBot="1" x14ac:dyDescent="0.3">
      <c r="A10" s="36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8"/>
    </row>
    <row r="11" spans="1:25" ht="15.75" thickTop="1" x14ac:dyDescent="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</row>
    <row r="12" spans="1:25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</row>
    <row r="13" spans="1:25" x14ac:dyDescent="0.25">
      <c r="A13" s="25" t="s">
        <v>64</v>
      </c>
      <c r="B13" s="25"/>
      <c r="C13" s="25"/>
      <c r="D13" s="25"/>
      <c r="E13" s="25"/>
      <c r="F13" s="25"/>
      <c r="G13" s="25"/>
      <c r="H13" s="25"/>
      <c r="I13" s="25"/>
      <c r="J13" s="25"/>
    </row>
    <row r="14" spans="1:25" x14ac:dyDescent="0.25">
      <c r="A14" s="25"/>
      <c r="B14" s="25"/>
      <c r="C14" s="25"/>
      <c r="D14" s="25"/>
      <c r="E14" s="25"/>
      <c r="F14" s="25"/>
      <c r="G14" s="25"/>
      <c r="H14" s="25"/>
      <c r="I14" s="25"/>
      <c r="J14" s="25"/>
    </row>
    <row r="15" spans="1:25" x14ac:dyDescent="0.25">
      <c r="A15" s="25"/>
      <c r="B15" s="168" t="s">
        <v>60</v>
      </c>
      <c r="C15" s="168"/>
      <c r="D15" s="168"/>
      <c r="E15" s="168"/>
      <c r="F15" s="168"/>
      <c r="G15" s="168"/>
      <c r="H15" s="25"/>
      <c r="I15" s="25"/>
      <c r="J15" s="25"/>
    </row>
    <row r="16" spans="1:25" x14ac:dyDescent="0.25">
      <c r="A16" s="25"/>
      <c r="B16" s="30"/>
      <c r="C16" s="30"/>
      <c r="D16" s="30"/>
      <c r="E16" s="30"/>
      <c r="F16" s="30"/>
      <c r="G16" s="30"/>
      <c r="H16" s="25"/>
      <c r="I16" s="25"/>
      <c r="J16" s="25"/>
    </row>
    <row r="17" spans="1:13" x14ac:dyDescent="0.25">
      <c r="A17" s="25" t="s">
        <v>65</v>
      </c>
      <c r="B17" s="30"/>
      <c r="C17" s="30"/>
      <c r="D17" s="30"/>
      <c r="E17" s="30"/>
      <c r="F17" s="30"/>
      <c r="G17" s="30"/>
      <c r="H17" s="25"/>
      <c r="I17" s="25"/>
      <c r="J17" s="25"/>
    </row>
    <row r="18" spans="1:13" x14ac:dyDescent="0.25">
      <c r="A18" s="25"/>
      <c r="B18" s="30"/>
      <c r="C18" s="30"/>
      <c r="D18" s="30"/>
      <c r="E18" s="30"/>
      <c r="F18" s="30"/>
      <c r="G18" s="30"/>
      <c r="H18" s="25"/>
      <c r="I18" s="25"/>
      <c r="J18" s="25"/>
    </row>
    <row r="19" spans="1:13" x14ac:dyDescent="0.25">
      <c r="A19" s="25" t="s">
        <v>66</v>
      </c>
      <c r="B19" s="25"/>
      <c r="C19" s="25"/>
      <c r="D19" s="25"/>
      <c r="E19" s="25"/>
      <c r="F19" s="25"/>
      <c r="G19" s="25"/>
      <c r="H19" s="25"/>
      <c r="I19" s="25"/>
      <c r="J19" s="25"/>
    </row>
    <row r="20" spans="1:13" x14ac:dyDescent="0.25">
      <c r="A20" s="25"/>
      <c r="B20" s="25"/>
      <c r="C20" s="25"/>
      <c r="D20" s="25"/>
      <c r="E20" s="25"/>
      <c r="F20" s="25"/>
      <c r="G20" s="25"/>
      <c r="H20" s="25"/>
      <c r="I20" s="25"/>
      <c r="J20" s="25"/>
    </row>
    <row r="22" spans="1:13" x14ac:dyDescent="0.25">
      <c r="D22" s="18"/>
      <c r="E22" s="18"/>
      <c r="F22" s="18"/>
      <c r="G22" s="18"/>
      <c r="H22" s="18"/>
      <c r="I22" s="18"/>
      <c r="J22" s="18"/>
      <c r="K22" s="18"/>
      <c r="L22" s="18"/>
      <c r="M22" s="18"/>
    </row>
    <row r="23" spans="1:13" x14ac:dyDescent="0.25">
      <c r="A23" s="1"/>
    </row>
    <row r="39" spans="1:1" x14ac:dyDescent="0.25">
      <c r="A39" s="1"/>
    </row>
  </sheetData>
  <sheetProtection password="C6EC" sheet="1" objects="1" scenarios="1" selectLockedCells="1"/>
  <customSheetViews>
    <customSheetView guid="{3D7EB65F-0FC5-47F2-9875-B5415B55E484}">
      <selection activeCell="C18" sqref="C18"/>
      <pageMargins left="0.7" right="0.7" top="0.75" bottom="0.75" header="0.3" footer="0.3"/>
      <pageSetup paperSize="9" orientation="portrait" r:id="rId1"/>
    </customSheetView>
    <customSheetView guid="{92152A40-AC35-40DB-8CA0-26244A2F5883}">
      <selection activeCell="C18" sqref="C18"/>
    </customSheetView>
  </customSheetViews>
  <mergeCells count="2">
    <mergeCell ref="D1:I1"/>
    <mergeCell ref="B15:G15"/>
  </mergeCells>
  <hyperlinks>
    <hyperlink ref="B15" r:id="rId2"/>
  </hyperlinks>
  <pageMargins left="0.70866141732283472" right="0.70866141732283472" top="0.9055118110236221" bottom="0.74803149606299213" header="0.31496062992125984" footer="0.31496062992125984"/>
  <pageSetup paperSize="9" scale="79" orientation="portrait" r:id="rId3"/>
  <headerFooter>
    <oddHeader>&amp;C&amp;"-,Bold"&amp;14Hastings District Council
On-Site Stormwater Detention Calculator</oddHeader>
    <oddFooter>&amp;L&amp;D&amp;T&amp;RV05b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11</vt:i4>
      </vt:variant>
    </vt:vector>
  </HeadingPairs>
  <TitlesOfParts>
    <vt:vector size="16" baseType="lpstr">
      <vt:lpstr>Guidance Notes</vt:lpstr>
      <vt:lpstr>1. Site Info &amp; Detention Req</vt:lpstr>
      <vt:lpstr>Storage Calc</vt:lpstr>
      <vt:lpstr>Lists</vt:lpstr>
      <vt:lpstr>Rainfall</vt:lpstr>
      <vt:lpstr>Building_Roof</vt:lpstr>
      <vt:lpstr>Driveway_Area</vt:lpstr>
      <vt:lpstr>Durations</vt:lpstr>
      <vt:lpstr>Garage_Roof</vt:lpstr>
      <vt:lpstr>Outlet</vt:lpstr>
      <vt:lpstr>Percentage</vt:lpstr>
      <vt:lpstr>'1. Site Info &amp; Detention Req'!Print_Area</vt:lpstr>
      <vt:lpstr>'Guidance Notes'!Print_Area</vt:lpstr>
      <vt:lpstr>Storage</vt:lpstr>
      <vt:lpstr>Storage_Depth</vt:lpstr>
      <vt:lpstr>Zoning</vt:lpstr>
    </vt:vector>
  </TitlesOfParts>
  <Company>MWH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Wayne Hodson</dc:creator>
  <cp:lastPrinted>2013-04-08T02:33:04Z</cp:lastPrinted>
  <dcterms:created xsi:type="dcterms:W3CDTF">2010-04-07T01:08:39Z</dcterms:created>
  <dcterms:modified xsi:type="dcterms:W3CDTF">2016-01-11T02:52:13Z</dcterms:modified>
</cp:coreProperties>
</file>